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7365" windowHeight="8805" activeTab="0"/>
  </bookViews>
  <sheets>
    <sheet name="Design" sheetId="1" r:id="rId1"/>
    <sheet name="Design (2)" sheetId="2" r:id="rId2"/>
  </sheets>
  <externalReferences>
    <externalReference r:id="rId5"/>
  </externalReferences>
  <definedNames>
    <definedName name="_1_Kb">'[1]Bolt'!$B$14</definedName>
    <definedName name="Allowable" localSheetId="0">#REF!</definedName>
    <definedName name="Allowable">#REF!</definedName>
    <definedName name="AllowShear">#REF!</definedName>
    <definedName name="Alpha" localSheetId="0">#REF!</definedName>
    <definedName name="Alpha">#REF!</definedName>
    <definedName name="Angle">'[1]Buckling'!$B$4</definedName>
    <definedName name="At">'[1]Bolt'!$B$21</definedName>
    <definedName name="Beta">'[1]PwrScrew'!$B$14</definedName>
    <definedName name="Beta_2">'[1]PwrScrew'!$B$15</definedName>
    <definedName name="C_" localSheetId="0">'Design'!$B$6</definedName>
    <definedName name="C_" localSheetId="1">'Design (2)'!$B$6</definedName>
    <definedName name="C_">#REF!</definedName>
    <definedName name="Ck">'[1]Bolt'!$B$18</definedName>
    <definedName name="CosBeta_2">'[1]PwrScrew'!$B$16</definedName>
    <definedName name="D" localSheetId="0">#REF!</definedName>
    <definedName name="D">#REF!</definedName>
    <definedName name="d_squared">#REF!</definedName>
    <definedName name="d_wire">#REF!</definedName>
    <definedName name="Dcrest">'[1]PwrScrew'!$B$6</definedName>
    <definedName name="Defl" localSheetId="0">#REF!</definedName>
    <definedName name="Defl">#REF!</definedName>
    <definedName name="Delta">#REF!</definedName>
    <definedName name="Delta_Lfree">#REF!</definedName>
    <definedName name="DeltaF" localSheetId="0">'Design'!$B$4</definedName>
    <definedName name="DeltaF" localSheetId="1">'Design (2)'!$B$4</definedName>
    <definedName name="DeltaF">#REF!</definedName>
    <definedName name="DeltaX" localSheetId="0">'Design'!$B$5</definedName>
    <definedName name="DeltaX" localSheetId="1">'Design (2)'!$B$5</definedName>
    <definedName name="DeltaX">#REF!</definedName>
    <definedName name="DeltaX_Lfree" localSheetId="0">'Design'!$B$35</definedName>
    <definedName name="DeltaX_Lfree">'Design (2)'!$B$35</definedName>
    <definedName name="Diameter">'[1]Bolt'!$B$3</definedName>
    <definedName name="Dmean" localSheetId="0">'Design'!$B$27</definedName>
    <definedName name="Dmean" localSheetId="1">'Design (2)'!$B$27</definedName>
    <definedName name="Dmean">#REF!</definedName>
    <definedName name="Dpitch">'[1]PwrScrew'!$B$7</definedName>
    <definedName name="Dr">'[1]Bolt'!$B$11</definedName>
    <definedName name="dwire" localSheetId="0">'Design'!$B$26</definedName>
    <definedName name="dwire" localSheetId="1">'Design (2)'!$B$26</definedName>
    <definedName name="dwire">#REF!</definedName>
    <definedName name="E">'[1]Bolt'!$B$7</definedName>
    <definedName name="F" localSheetId="0">#REF!</definedName>
    <definedName name="F">#REF!</definedName>
    <definedName name="Force" localSheetId="0">#REF!</definedName>
    <definedName name="Force">#REF!</definedName>
    <definedName name="FOS" localSheetId="0">'Design'!$B$13</definedName>
    <definedName name="FOS" localSheetId="1">'Design (2)'!$B$13</definedName>
    <definedName name="FOS">#REF!</definedName>
    <definedName name="FOSj">'[1]Bolt'!$B$25</definedName>
    <definedName name="G" localSheetId="0">'Design'!$B$8</definedName>
    <definedName name="G" localSheetId="1">'Design (2)'!$B$8</definedName>
    <definedName name="G">#REF!</definedName>
    <definedName name="Height">#REF!</definedName>
    <definedName name="Height2">#REF!</definedName>
    <definedName name="Ht">'[1]Bolt'!$B$10</definedName>
    <definedName name="ID" localSheetId="0">#REF!</definedName>
    <definedName name="ID">#REF!</definedName>
    <definedName name="Index">#REF!</definedName>
    <definedName name="K" localSheetId="0">'Design'!$B$25</definedName>
    <definedName name="K" localSheetId="1">'Design (2)'!$B$25</definedName>
    <definedName name="K">#REF!</definedName>
    <definedName name="Kb" localSheetId="0">'Design'!$B$7</definedName>
    <definedName name="Kb" localSheetId="1">'Design (2)'!$B$7</definedName>
    <definedName name="Kb">#REF!</definedName>
    <definedName name="Kj">'[1]Bolt'!$B$17</definedName>
    <definedName name="Kw">#REF!</definedName>
    <definedName name="l_Rg">'[1]Buckling'!$B$18</definedName>
    <definedName name="L_Rg_Xition">'[1]Buckling'!$B$20</definedName>
    <definedName name="Le_L">'[1]Buckling'!$B$10</definedName>
    <definedName name="Lead" localSheetId="0">#REF!</definedName>
    <definedName name="Lead">#REF!</definedName>
    <definedName name="Length">'[1]Bolt'!$B$5</definedName>
    <definedName name="Lfree" localSheetId="0">'Design'!$B$31</definedName>
    <definedName name="Lfree" localSheetId="1">'Design (2)'!$B$31</definedName>
    <definedName name="Lfree">#REF!</definedName>
    <definedName name="Lfree_D" localSheetId="0">'Design'!$B$34</definedName>
    <definedName name="Lfree_D" localSheetId="1">'Design (2)'!$B$34</definedName>
    <definedName name="Lfree_D">#REF!</definedName>
    <definedName name="Lo" localSheetId="0">#REF!</definedName>
    <definedName name="Lo">#REF!</definedName>
    <definedName name="Lshank">'[1]Bolt'!$B$9</definedName>
    <definedName name="Lsolid" localSheetId="0">'Design'!$B$30</definedName>
    <definedName name="Lsolid" localSheetId="1">'Design (2)'!$B$30</definedName>
    <definedName name="Lsolid">#REF!</definedName>
    <definedName name="Lthread">'[1]Bolt (2004)'!$B$12</definedName>
    <definedName name="Ltotthread">'[1]Bolt'!$B$8</definedName>
    <definedName name="Mu" localSheetId="0">#REF!</definedName>
    <definedName name="Mu">#REF!</definedName>
    <definedName name="mu_effective">'[1]PwrScrew (2004)'!$B$29</definedName>
    <definedName name="MuCollar" localSheetId="0">#REF!</definedName>
    <definedName name="MuCollar">#REF!</definedName>
    <definedName name="MuEff">'[1]PwrScrew'!$B$21</definedName>
    <definedName name="N" localSheetId="0">#REF!</definedName>
    <definedName name="N">#REF!</definedName>
    <definedName name="Na" localSheetId="0">'Design'!$B$28</definedName>
    <definedName name="Na" localSheetId="1">'Design (2)'!$B$28</definedName>
    <definedName name="Na">#REF!</definedName>
    <definedName name="Nactive" localSheetId="0">#REF!</definedName>
    <definedName name="Nactive">#REF!</definedName>
    <definedName name="Nend" localSheetId="0">#REF!</definedName>
    <definedName name="Nend">#REF!</definedName>
    <definedName name="Nt" localSheetId="0">'Design'!$B$29</definedName>
    <definedName name="Nt" localSheetId="1">'Design (2)'!$B$29</definedName>
    <definedName name="Nt">#REF!</definedName>
    <definedName name="Ntot" localSheetId="0">#REF!</definedName>
    <definedName name="Ntot">#REF!</definedName>
    <definedName name="OD" localSheetId="0">#REF!</definedName>
    <definedName name="OD">#REF!</definedName>
    <definedName name="Palt" localSheetId="0">'Design'!$B$18</definedName>
    <definedName name="Palt" localSheetId="1">'Design (2)'!$B$18</definedName>
    <definedName name="Palt">#REF!</definedName>
    <definedName name="PcritE">'[1]Buckling'!$B$22</definedName>
    <definedName name="Pi">'[1]Bolt'!$B$23</definedName>
    <definedName name="Pitch">'[1]Bolt'!$B$4</definedName>
    <definedName name="Pmax" localSheetId="0">'Design'!$B$3</definedName>
    <definedName name="Pmax" localSheetId="1">'Design (2)'!$B$3</definedName>
    <definedName name="Pmax">#REF!</definedName>
    <definedName name="Pmean" localSheetId="0">'Design'!$B$17</definedName>
    <definedName name="Pmean" localSheetId="1">'Design (2)'!$B$17</definedName>
    <definedName name="Pmean">#REF!</definedName>
    <definedName name="Pmin" localSheetId="0">'Design'!$B$2</definedName>
    <definedName name="Pmin" localSheetId="1">'Design (2)'!$B$2</definedName>
    <definedName name="Pmin">#REF!</definedName>
    <definedName name="PreloadFactor">'[1]Bolt'!$B$22</definedName>
    <definedName name="_xlnm.Print_Area" localSheetId="0">'Design'!$A$2:$M$65</definedName>
    <definedName name="_xlnm.Print_Area" localSheetId="1">'Design (2)'!$A$2:$M$65</definedName>
    <definedName name="RatioMeanAlt" localSheetId="0">'Design'!$B$19</definedName>
    <definedName name="RatioMeanAlt" localSheetId="1">'Design (2)'!$B$19</definedName>
    <definedName name="RatioMeanAlt">#REF!</definedName>
    <definedName name="RCollar" localSheetId="0">#REF!</definedName>
    <definedName name="RCollar">#REF!</definedName>
    <definedName name="Rg">'[1]Buckling'!$B$17</definedName>
    <definedName name="Rhandle">'[1]PwrScrew'!$B$25</definedName>
    <definedName name="Shear" localSheetId="0">#REF!</definedName>
    <definedName name="Shear">#REF!</definedName>
    <definedName name="ShearPerLb" localSheetId="0">#REF!</definedName>
    <definedName name="ShearPerLb">#REF!</definedName>
    <definedName name="Sproof">'[1]Bolt'!$B$20</definedName>
    <definedName name="Sse" localSheetId="0">'Design'!$B$10</definedName>
    <definedName name="Sse" localSheetId="1">'Design (2)'!$B$10</definedName>
    <definedName name="Sse">#REF!</definedName>
    <definedName name="Ssu" localSheetId="0">'Design'!$B$12</definedName>
    <definedName name="Ssu" localSheetId="1">'Design (2)'!$B$12</definedName>
    <definedName name="Ssu">#REF!</definedName>
    <definedName name="Ssy" localSheetId="0">'Design'!$B$11</definedName>
    <definedName name="Ssy" localSheetId="1">'Design (2)'!$B$11</definedName>
    <definedName name="Ssy">#REF!</definedName>
    <definedName name="Sut" localSheetId="0">'Design'!$B$9</definedName>
    <definedName name="Sut" localSheetId="1">'Design (2)'!$B$9</definedName>
    <definedName name="Sut">#REF!</definedName>
    <definedName name="TaltMax" localSheetId="0">'Design'!$B$22</definedName>
    <definedName name="TaltMax" localSheetId="1">'Design (2)'!$B$22</definedName>
    <definedName name="TaltMax">#REF!</definedName>
    <definedName name="TaltMaxGood" localSheetId="0">'Design'!$B$20</definedName>
    <definedName name="TaltMaxGood" localSheetId="1">'Design (2)'!$B$20</definedName>
    <definedName name="TaltMaxGood">#REF!</definedName>
    <definedName name="TaltMaxYield" localSheetId="0">'Design'!$B$21</definedName>
    <definedName name="TaltMaxYield" localSheetId="1">'Design (2)'!$B$21</definedName>
    <definedName name="TaltMaxYield">#REF!</definedName>
    <definedName name="TanAlpha">'[1]PwrScrew'!$C$19</definedName>
    <definedName name="Tgrip">'[1]Bolt'!$B$6</definedName>
    <definedName name="TmeanMax" localSheetId="0">'Design'!$B$23</definedName>
    <definedName name="TmeanMax" localSheetId="1">'Design (2)'!$B$23</definedName>
    <definedName name="TmeanMax">#REF!</definedName>
    <definedName name="Traise">'[1]PwrScrew'!$B$24</definedName>
    <definedName name="TwoAlfa" localSheetId="0">#REF!</definedName>
    <definedName name="TwoAlfa">#REF!</definedName>
    <definedName name="Velocity">#REF!</definedName>
    <definedName name="Velocity_2">#REF!</definedName>
    <definedName name="W">'[1]PwrScrew'!$B$4</definedName>
    <definedName name="Weight">#REF!</definedName>
    <definedName name="Weight2">#REF!</definedName>
  </definedNames>
  <calcPr fullCalcOnLoad="1"/>
</workbook>
</file>

<file path=xl/sharedStrings.xml><?xml version="1.0" encoding="utf-8"?>
<sst xmlns="http://schemas.openxmlformats.org/spreadsheetml/2006/main" count="180" uniqueCount="71">
  <si>
    <t>G</t>
  </si>
  <si>
    <t>Pmax</t>
  </si>
  <si>
    <t>Na</t>
  </si>
  <si>
    <t>Nt</t>
  </si>
  <si>
    <t>=Na+2</t>
  </si>
  <si>
    <t>Lsolid</t>
  </si>
  <si>
    <t>Lfree</t>
  </si>
  <si>
    <t>Lfree/D</t>
  </si>
  <si>
    <t>DeltaF</t>
  </si>
  <si>
    <t>DeltaX</t>
  </si>
  <si>
    <t>C</t>
  </si>
  <si>
    <t>Kb</t>
  </si>
  <si>
    <t>Sut</t>
  </si>
  <si>
    <t>Pmin</t>
  </si>
  <si>
    <t>K</t>
  </si>
  <si>
    <t>Pmean</t>
  </si>
  <si>
    <t>Palt</t>
  </si>
  <si>
    <t>dwire</t>
  </si>
  <si>
    <t>Dmean</t>
  </si>
  <si>
    <t>N</t>
  </si>
  <si>
    <t>mm</t>
  </si>
  <si>
    <t>Mpa</t>
  </si>
  <si>
    <t>N/mm</t>
  </si>
  <si>
    <t>Sse</t>
  </si>
  <si>
    <t>Ssy</t>
  </si>
  <si>
    <t>Estimate</t>
  </si>
  <si>
    <t>Ssu</t>
  </si>
  <si>
    <t>FOS</t>
  </si>
  <si>
    <t>Peened=465; Unpeened=310</t>
  </si>
  <si>
    <t>Goodman</t>
  </si>
  <si>
    <t>Yield</t>
  </si>
  <si>
    <t>RatioMeanAlt</t>
  </si>
  <si>
    <t>TaltMaxGood</t>
  </si>
  <si>
    <t>TaltMaxYield</t>
  </si>
  <si>
    <t>TaltMax</t>
  </si>
  <si>
    <t>Load</t>
  </si>
  <si>
    <t>TmeanMax</t>
  </si>
  <si>
    <t>Shear Modulus</t>
  </si>
  <si>
    <t>=0.5*(Pmax-Pmin)</t>
  </si>
  <si>
    <t>=Pmean/Palt</t>
  </si>
  <si>
    <t>=(1/(1/Sse+RatioMeanAlt/Ssu))/FOS</t>
  </si>
  <si>
    <t>=(1/(1/Ssy+RatioMeanAlt/Ssy))/FOS</t>
  </si>
  <si>
    <t>=MIN(TaltMaxGood,TaltMaxYield)</t>
  </si>
  <si>
    <t>=TaltMax*RatioMeanAlt</t>
  </si>
  <si>
    <t>=DeltaF/DeltaX</t>
  </si>
  <si>
    <t>=SQRT(8*C_*Kb*Palt/(PI()*TaltMax))</t>
  </si>
  <si>
    <t>=dwire*C_</t>
  </si>
  <si>
    <t>=(G*dwire)/(K*8*C_^3*(1+0.5/C_^2))</t>
  </si>
  <si>
    <t>=Nt*dwire</t>
  </si>
  <si>
    <t>=1.1*Lsolid+DeltaX</t>
  </si>
  <si>
    <t>=Pmax-Pmin</t>
  </si>
  <si>
    <t>=(4*C_+2)/(4*C_-3)</t>
  </si>
  <si>
    <t>=0.4*Sut</t>
  </si>
  <si>
    <t>=0.6*Sut</t>
  </si>
  <si>
    <t>=0.5*(Pmax+Pmin)</t>
  </si>
  <si>
    <t>Music</t>
  </si>
  <si>
    <t>Oil-Temp</t>
  </si>
  <si>
    <t>Hard-Drawn</t>
  </si>
  <si>
    <t>ChromVan</t>
  </si>
  <si>
    <t>ChromSilicon</t>
  </si>
  <si>
    <t>Ap</t>
  </si>
  <si>
    <t>m</t>
  </si>
  <si>
    <t>Guess d (mm):</t>
  </si>
  <si>
    <t>Sut for Current Calculated Wire Diameter</t>
  </si>
  <si>
    <t>DeltaX/Lfree</t>
  </si>
  <si>
    <t>Frequency</t>
  </si>
  <si>
    <t>=Lfree/Dmean</t>
  </si>
  <si>
    <t>=DeltaX/Lfree</t>
  </si>
  <si>
    <t>Hz</t>
  </si>
  <si>
    <t>=353000*dwire/(Nt*Dmean^2)</t>
  </si>
  <si>
    <t>Sut = Ap / dwire^m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</si>
</sst>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</numFmts>
  <fonts count="25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sz val="8"/>
      <name val="Arial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2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8" fillId="3" borderId="0" applyNumberFormat="0" applyBorder="0" applyAlignment="0" applyProtection="0"/>
    <xf numFmtId="0" fontId="12" fillId="20" borderId="1" applyNumberFormat="0" applyAlignment="0" applyProtection="0"/>
    <xf numFmtId="0" fontId="1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0" fillId="7" borderId="1" applyNumberFormat="0" applyAlignment="0" applyProtection="0"/>
    <xf numFmtId="0" fontId="13" fillId="0" borderId="6" applyNumberFormat="0" applyFill="0" applyAlignment="0" applyProtection="0"/>
    <xf numFmtId="0" fontId="9" fillId="22" borderId="0" applyNumberFormat="0" applyBorder="0" applyAlignment="0" applyProtection="0"/>
    <xf numFmtId="0" fontId="0" fillId="23" borderId="7" applyNumberFormat="0" applyFont="0" applyAlignment="0" applyProtection="0"/>
    <xf numFmtId="0" fontId="11" fillId="20" borderId="8" applyNumberFormat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5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 quotePrefix="1">
      <alignment/>
    </xf>
    <xf numFmtId="164" fontId="0" fillId="0" borderId="0" xfId="0" applyNumberFormat="1" applyAlignment="1">
      <alignment/>
    </xf>
    <xf numFmtId="164" fontId="0" fillId="0" borderId="0" xfId="0" applyNumberFormat="1" applyAlignment="1" quotePrefix="1">
      <alignment/>
    </xf>
    <xf numFmtId="2" fontId="0" fillId="0" borderId="0" xfId="0" applyNumberFormat="1" applyAlignment="1">
      <alignment/>
    </xf>
    <xf numFmtId="2" fontId="0" fillId="0" borderId="0" xfId="0" applyNumberFormat="1" applyAlignment="1" quotePrefix="1">
      <alignment/>
    </xf>
    <xf numFmtId="0" fontId="0" fillId="22" borderId="10" xfId="0" applyFill="1" applyBorder="1" applyAlignment="1">
      <alignment/>
    </xf>
    <xf numFmtId="165" fontId="0" fillId="0" borderId="0" xfId="0" applyNumberFormat="1" applyAlignment="1">
      <alignment/>
    </xf>
    <xf numFmtId="165" fontId="0" fillId="0" borderId="0" xfId="0" applyNumberFormat="1" applyAlignment="1" quotePrefix="1">
      <alignment/>
    </xf>
    <xf numFmtId="0" fontId="2" fillId="0" borderId="0" xfId="0" applyFont="1" applyAlignment="1">
      <alignment/>
    </xf>
    <xf numFmtId="0" fontId="0" fillId="2" borderId="10" xfId="0" applyFill="1" applyBorder="1" applyAlignment="1">
      <alignment/>
    </xf>
    <xf numFmtId="1" fontId="0" fillId="2" borderId="0" xfId="0" applyNumberFormat="1" applyFill="1" applyAlignment="1">
      <alignment/>
    </xf>
    <xf numFmtId="1" fontId="0" fillId="0" borderId="0" xfId="0" applyNumberFormat="1" applyFill="1" applyAlignment="1">
      <alignment/>
    </xf>
    <xf numFmtId="0" fontId="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25"/>
          <c:y val="-0.00075"/>
          <c:w val="0.94475"/>
          <c:h val="0.93825"/>
        </c:manualLayout>
      </c:layout>
      <c:scatterChart>
        <c:scatterStyle val="lineMarker"/>
        <c:varyColors val="0"/>
        <c:ser>
          <c:idx val="0"/>
          <c:order val="0"/>
          <c:tx>
            <c:v>Goodman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Design!$F$8:$F$9</c:f>
              <c:numCache/>
            </c:numRef>
          </c:xVal>
          <c:yVal>
            <c:numRef>
              <c:f>Design!$G$8:$G$9</c:f>
              <c:numCache/>
            </c:numRef>
          </c:yVal>
          <c:smooth val="0"/>
        </c:ser>
        <c:ser>
          <c:idx val="1"/>
          <c:order val="1"/>
          <c:tx>
            <c:v>Yield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Design!$F$11:$F$12</c:f>
              <c:numCache/>
            </c:numRef>
          </c:xVal>
          <c:yVal>
            <c:numRef>
              <c:f>Design!$G$11:$G$12</c:f>
              <c:numCache/>
            </c:numRef>
          </c:yVal>
          <c:smooth val="0"/>
        </c:ser>
        <c:ser>
          <c:idx val="2"/>
          <c:order val="2"/>
          <c:tx>
            <c:v>Load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CC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Design!$F$14:$F$15</c:f>
              <c:numCache/>
            </c:numRef>
          </c:xVal>
          <c:yVal>
            <c:numRef>
              <c:f>Design!$G$14:$G$15</c:f>
              <c:numCache/>
            </c:numRef>
          </c:yVal>
          <c:smooth val="0"/>
        </c:ser>
        <c:axId val="65455864"/>
        <c:axId val="52231865"/>
      </c:scatterChart>
      <c:valAx>
        <c:axId val="654558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Tmean</a:t>
                </a:r>
              </a:p>
            </c:rich>
          </c:tx>
          <c:layout>
            <c:manualLayout>
              <c:xMode val="factor"/>
              <c:yMode val="factor"/>
              <c:x val="0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2231865"/>
        <c:crosses val="autoZero"/>
        <c:crossBetween val="midCat"/>
        <c:dispUnits/>
        <c:majorUnit val="100"/>
      </c:valAx>
      <c:valAx>
        <c:axId val="522318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Talt</a:t>
                </a:r>
              </a:p>
            </c:rich>
          </c:tx>
          <c:layout>
            <c:manualLayout>
              <c:xMode val="factor"/>
              <c:yMode val="factor"/>
              <c:x val="-0.000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5455864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5"/>
          <c:y val="0.002"/>
          <c:w val="0.97325"/>
          <c:h val="1.004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FF0000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Design!$B$34</c:f>
              <c:numCache/>
            </c:numRef>
          </c:xVal>
          <c:yVal>
            <c:numRef>
              <c:f>Design!$B$35</c:f>
              <c:numCache/>
            </c:numRef>
          </c:y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Design!$F$36:$F$38</c:f>
              <c:numCache/>
            </c:numRef>
          </c:xVal>
          <c:yVal>
            <c:numRef>
              <c:f>Design!$G$36:$G$38</c:f>
              <c:numCache/>
            </c:numRef>
          </c:yVal>
          <c:smooth val="0"/>
        </c:ser>
        <c:axId val="324738"/>
        <c:axId val="2922643"/>
      </c:scatterChart>
      <c:valAx>
        <c:axId val="324738"/>
        <c:scaling>
          <c:orientation val="minMax"/>
          <c:max val="10"/>
          <c:min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22643"/>
        <c:crosses val="autoZero"/>
        <c:crossBetween val="midCat"/>
        <c:dispUnits/>
        <c:majorUnit val="1"/>
      </c:valAx>
      <c:valAx>
        <c:axId val="2922643"/>
        <c:scaling>
          <c:orientation val="minMax"/>
          <c:max val="0.75"/>
          <c:min val="0.05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4738"/>
        <c:crosses val="autoZero"/>
        <c:crossBetween val="midCat"/>
        <c:dispUnits/>
        <c:majorUnit val="0.0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25"/>
          <c:y val="-0.00075"/>
          <c:w val="0.94475"/>
          <c:h val="0.93825"/>
        </c:manualLayout>
      </c:layout>
      <c:scatterChart>
        <c:scatterStyle val="lineMarker"/>
        <c:varyColors val="0"/>
        <c:ser>
          <c:idx val="0"/>
          <c:order val="0"/>
          <c:tx>
            <c:v>Goodman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'Design (2)'!$F$8:$F$9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'Design (2)'!$G$8:$G$9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Yield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'Design (2)'!$F$11:$F$12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'Design (2)'!$G$11:$G$12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Load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'Design (2)'!$F$14:$F$15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'Design (2)'!$G$14:$G$15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axId val="26303788"/>
        <c:axId val="35407501"/>
      </c:scatterChart>
      <c:valAx>
        <c:axId val="263037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Tmean</a:t>
                </a:r>
              </a:p>
            </c:rich>
          </c:tx>
          <c:layout>
            <c:manualLayout>
              <c:xMode val="factor"/>
              <c:yMode val="factor"/>
              <c:x val="0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407501"/>
        <c:crosses val="autoZero"/>
        <c:crossBetween val="midCat"/>
        <c:dispUnits/>
        <c:majorUnit val="100"/>
      </c:valAx>
      <c:valAx>
        <c:axId val="354075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Talt</a:t>
                </a:r>
              </a:p>
            </c:rich>
          </c:tx>
          <c:layout>
            <c:manualLayout>
              <c:xMode val="factor"/>
              <c:yMode val="factor"/>
              <c:x val="-0.000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303788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5"/>
          <c:y val="0.002"/>
          <c:w val="0.97325"/>
          <c:h val="1.004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FF0000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'Design (2)'!$B$34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'Design (2)'!$B$35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'Design (2)'!$F$36:$F$38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xVal>
          <c:yVal>
            <c:numRef>
              <c:f>'Design (2)'!$G$36:$G$38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yVal>
          <c:smooth val="0"/>
        </c:ser>
        <c:axId val="50232054"/>
        <c:axId val="49435303"/>
      </c:scatterChart>
      <c:valAx>
        <c:axId val="50232054"/>
        <c:scaling>
          <c:orientation val="minMax"/>
          <c:max val="10"/>
          <c:min val="1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435303"/>
        <c:crosses val="autoZero"/>
        <c:crossBetween val="midCat"/>
        <c:dispUnits/>
        <c:majorUnit val="1"/>
      </c:valAx>
      <c:valAx>
        <c:axId val="49435303"/>
        <c:scaling>
          <c:orientation val="minMax"/>
          <c:max val="0.75"/>
          <c:min val="0.05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232054"/>
        <c:crosses val="autoZero"/>
        <c:crossBetween val="midCat"/>
        <c:dispUnits/>
        <c:majorUnit val="0.0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Relationship Id="rId3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emf" /><Relationship Id="rId3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</xdr:row>
      <xdr:rowOff>19050</xdr:rowOff>
    </xdr:from>
    <xdr:to>
      <xdr:col>12</xdr:col>
      <xdr:colOff>590550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4343400" y="180975"/>
        <a:ext cx="5476875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2133600</xdr:colOff>
      <xdr:row>33</xdr:row>
      <xdr:rowOff>28575</xdr:rowOff>
    </xdr:from>
    <xdr:to>
      <xdr:col>11</xdr:col>
      <xdr:colOff>342900</xdr:colOff>
      <xdr:row>67</xdr:row>
      <xdr:rowOff>9525</xdr:rowOff>
    </xdr:to>
    <xdr:grpSp>
      <xdr:nvGrpSpPr>
        <xdr:cNvPr id="2" name="Group 7"/>
        <xdr:cNvGrpSpPr>
          <a:grpSpLocks/>
        </xdr:cNvGrpSpPr>
      </xdr:nvGrpSpPr>
      <xdr:grpSpPr>
        <a:xfrm>
          <a:off x="4162425" y="5372100"/>
          <a:ext cx="4610100" cy="5486400"/>
          <a:chOff x="459" y="564"/>
          <a:chExt cx="484" cy="576"/>
        </a:xfrm>
        <a:solidFill>
          <a:srgbClr val="FFFFFF"/>
        </a:solidFill>
      </xdr:grpSpPr>
      <xdr:pic>
        <xdr:nvPicPr>
          <xdr:cNvPr id="3" name="Picture 5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485" y="564"/>
            <a:ext cx="458" cy="576"/>
          </a:xfrm>
          <a:prstGeom prst="rect">
            <a:avLst/>
          </a:prstGeom>
          <a:noFill/>
          <a:ln w="9525" cmpd="sng">
            <a:noFill/>
          </a:ln>
        </xdr:spPr>
      </xdr:pic>
      <xdr:graphicFrame>
        <xdr:nvGraphicFramePr>
          <xdr:cNvPr id="4" name="Chart 4"/>
          <xdr:cNvGraphicFramePr/>
        </xdr:nvGraphicFramePr>
        <xdr:xfrm>
          <a:off x="459" y="569"/>
          <a:ext cx="471" cy="545"/>
        </xdr:xfrm>
        <a:graphic>
          <a:graphicData uri="http://schemas.openxmlformats.org/drawingml/2006/chart">
            <c:chart xmlns:c="http://schemas.openxmlformats.org/drawingml/2006/chart" r:id="rId3"/>
          </a:graphicData>
        </a:graphic>
      </xdr:graphicFrame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</xdr:row>
      <xdr:rowOff>19050</xdr:rowOff>
    </xdr:from>
    <xdr:to>
      <xdr:col>12</xdr:col>
      <xdr:colOff>590550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4343400" y="180975"/>
        <a:ext cx="5476875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57150</xdr:colOff>
      <xdr:row>34</xdr:row>
      <xdr:rowOff>76200</xdr:rowOff>
    </xdr:from>
    <xdr:to>
      <xdr:col>11</xdr:col>
      <xdr:colOff>409575</xdr:colOff>
      <xdr:row>68</xdr:row>
      <xdr:rowOff>57150</xdr:rowOff>
    </xdr:to>
    <xdr:grpSp>
      <xdr:nvGrpSpPr>
        <xdr:cNvPr id="2" name="Group 9"/>
        <xdr:cNvGrpSpPr>
          <a:grpSpLocks/>
        </xdr:cNvGrpSpPr>
      </xdr:nvGrpSpPr>
      <xdr:grpSpPr>
        <a:xfrm>
          <a:off x="4229100" y="5581650"/>
          <a:ext cx="4610100" cy="5486400"/>
          <a:chOff x="444" y="586"/>
          <a:chExt cx="484" cy="576"/>
        </a:xfrm>
        <a:solidFill>
          <a:srgbClr val="FFFFFF"/>
        </a:solidFill>
      </xdr:grpSpPr>
      <xdr:pic>
        <xdr:nvPicPr>
          <xdr:cNvPr id="3" name="Picture 6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470" y="586"/>
            <a:ext cx="458" cy="576"/>
          </a:xfrm>
          <a:prstGeom prst="rect">
            <a:avLst/>
          </a:prstGeom>
          <a:noFill/>
          <a:ln w="9525" cmpd="sng">
            <a:noFill/>
          </a:ln>
        </xdr:spPr>
      </xdr:pic>
      <xdr:graphicFrame>
        <xdr:nvGraphicFramePr>
          <xdr:cNvPr id="4" name="Chart 4"/>
          <xdr:cNvGraphicFramePr/>
        </xdr:nvGraphicFramePr>
        <xdr:xfrm>
          <a:off x="444" y="591"/>
          <a:ext cx="471" cy="545"/>
        </xdr:xfrm>
        <a:graphic>
          <a:graphicData uri="http://schemas.openxmlformats.org/drawingml/2006/chart">
            <c:chart xmlns:c="http://schemas.openxmlformats.org/drawingml/2006/chart" r:id="rId3"/>
          </a:graphicData>
        </a:graphic>
      </xdr:graphicFrame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ocaldata\BEI\~ME311\2012\StudentWork\FinalExam09An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pring"/>
      <sheetName val="Spring 09 NoImpact"/>
      <sheetName val="Spring 09 Bertini"/>
      <sheetName val="Spring (2004)"/>
      <sheetName val="PwrScrew"/>
      <sheetName val="PwrScrew Bertini"/>
      <sheetName val="PwrScrew (2004)"/>
      <sheetName val="Bolt"/>
      <sheetName val="Bolt (2004)"/>
      <sheetName val="Buckling"/>
      <sheetName val="Buckling (2004)"/>
      <sheetName val="Sheet2"/>
    </sheetNames>
    <sheetDataSet>
      <sheetData sheetId="4">
        <row r="4">
          <cell r="B4">
            <v>1000</v>
          </cell>
        </row>
        <row r="6">
          <cell r="B6">
            <v>0.75</v>
          </cell>
        </row>
        <row r="7">
          <cell r="B7">
            <v>0.6566666666666666</v>
          </cell>
        </row>
        <row r="14">
          <cell r="B14">
            <v>29</v>
          </cell>
        </row>
        <row r="15">
          <cell r="B15">
            <v>14.5</v>
          </cell>
        </row>
        <row r="16">
          <cell r="B16">
            <v>0.9681476403781077</v>
          </cell>
        </row>
        <row r="19">
          <cell r="C19">
            <v>0.08078931121416007</v>
          </cell>
        </row>
        <row r="21">
          <cell r="B21">
            <v>0.1549350468296528</v>
          </cell>
        </row>
        <row r="24">
          <cell r="B24">
            <v>115.87721938135924</v>
          </cell>
        </row>
        <row r="25">
          <cell r="B25">
            <v>6</v>
          </cell>
        </row>
      </sheetData>
      <sheetData sheetId="6">
        <row r="29">
          <cell r="B29">
            <v>0.1549350468296528</v>
          </cell>
        </row>
      </sheetData>
      <sheetData sheetId="7">
        <row r="3">
          <cell r="B3">
            <v>0.625</v>
          </cell>
        </row>
        <row r="4">
          <cell r="B4">
            <v>18</v>
          </cell>
        </row>
        <row r="5">
          <cell r="B5">
            <v>3.75</v>
          </cell>
        </row>
        <row r="6">
          <cell r="B6">
            <v>2.75</v>
          </cell>
        </row>
        <row r="7">
          <cell r="B7">
            <v>30000000</v>
          </cell>
        </row>
        <row r="8">
          <cell r="B8">
            <v>1.5</v>
          </cell>
        </row>
        <row r="9">
          <cell r="B9">
            <v>2.25</v>
          </cell>
        </row>
        <row r="10">
          <cell r="B10">
            <v>0.048112522432468816</v>
          </cell>
        </row>
        <row r="11">
          <cell r="B11">
            <v>0.564859346959414</v>
          </cell>
        </row>
        <row r="14">
          <cell r="B14">
            <v>3.681875337478964E-07</v>
          </cell>
        </row>
        <row r="17">
          <cell r="B17">
            <v>16000000</v>
          </cell>
        </row>
        <row r="18">
          <cell r="B18">
            <v>0.14511680766823512</v>
          </cell>
        </row>
        <row r="20">
          <cell r="B20">
            <v>85000</v>
          </cell>
        </row>
        <row r="21">
          <cell r="B21">
            <v>0.2559580069100185</v>
          </cell>
        </row>
        <row r="22">
          <cell r="B22">
            <v>0.9</v>
          </cell>
        </row>
        <row r="23">
          <cell r="B23">
            <v>19580.787528616416</v>
          </cell>
        </row>
        <row r="25">
          <cell r="B25">
            <v>2</v>
          </cell>
        </row>
      </sheetData>
      <sheetData sheetId="8">
        <row r="12">
          <cell r="B12">
            <v>0.5</v>
          </cell>
        </row>
      </sheetData>
      <sheetData sheetId="9">
        <row r="4">
          <cell r="B4">
            <v>26</v>
          </cell>
        </row>
        <row r="10">
          <cell r="B10">
            <v>1</v>
          </cell>
        </row>
        <row r="17">
          <cell r="B17">
            <v>0.625</v>
          </cell>
        </row>
        <row r="18">
          <cell r="B18">
            <v>153.6</v>
          </cell>
        </row>
        <row r="20">
          <cell r="B20">
            <v>117.35220928800551</v>
          </cell>
        </row>
        <row r="22">
          <cell r="B22">
            <v>17249.102335142987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38"/>
  <sheetViews>
    <sheetView tabSelected="1" zoomScalePageLayoutView="0" workbookViewId="0" topLeftCell="A1">
      <selection activeCell="D40" sqref="D40"/>
    </sheetView>
  </sheetViews>
  <sheetFormatPr defaultColWidth="9.140625" defaultRowHeight="12.75"/>
  <cols>
    <col min="1" max="1" width="12.140625" style="0" bestFit="1" customWidth="1"/>
    <col min="4" max="4" width="32.140625" style="0" bestFit="1" customWidth="1"/>
    <col min="5" max="5" width="2.57421875" style="0" customWidth="1"/>
    <col min="6" max="6" width="13.57421875" style="0" bestFit="1" customWidth="1"/>
    <col min="10" max="10" width="10.57421875" style="0" bestFit="1" customWidth="1"/>
    <col min="11" max="11" width="9.7109375" style="0" bestFit="1" customWidth="1"/>
    <col min="12" max="12" width="12.00390625" style="0" bestFit="1" customWidth="1"/>
  </cols>
  <sheetData>
    <row r="2" spans="1:3" ht="12.75">
      <c r="A2" t="s">
        <v>13</v>
      </c>
      <c r="B2" s="6">
        <v>300</v>
      </c>
      <c r="C2" t="s">
        <v>19</v>
      </c>
    </row>
    <row r="3" spans="1:3" ht="12.75">
      <c r="A3" t="s">
        <v>1</v>
      </c>
      <c r="B3" s="6">
        <v>600</v>
      </c>
      <c r="C3" t="s">
        <v>19</v>
      </c>
    </row>
    <row r="4" spans="1:4" ht="12.75">
      <c r="A4" t="s">
        <v>8</v>
      </c>
      <c r="B4">
        <f>Pmax-Pmin</f>
        <v>300</v>
      </c>
      <c r="C4" t="s">
        <v>19</v>
      </c>
      <c r="D4" s="1" t="s">
        <v>50</v>
      </c>
    </row>
    <row r="5" spans="1:3" ht="12.75">
      <c r="A5" t="s">
        <v>9</v>
      </c>
      <c r="B5" s="6">
        <v>25</v>
      </c>
      <c r="C5" t="s">
        <v>20</v>
      </c>
    </row>
    <row r="6" spans="1:2" ht="12.75">
      <c r="A6" t="s">
        <v>10</v>
      </c>
      <c r="B6" s="6">
        <v>8</v>
      </c>
    </row>
    <row r="7" spans="1:6" ht="12.75">
      <c r="A7" t="s">
        <v>11</v>
      </c>
      <c r="B7" s="2">
        <f>(4*C_+2)/(4*C_-3)</f>
        <v>1.1724137931034482</v>
      </c>
      <c r="D7" s="1" t="s">
        <v>51</v>
      </c>
      <c r="F7" t="s">
        <v>29</v>
      </c>
    </row>
    <row r="8" spans="1:7" ht="12.75">
      <c r="A8" t="s">
        <v>0</v>
      </c>
      <c r="B8" s="6">
        <v>79300</v>
      </c>
      <c r="C8" t="s">
        <v>21</v>
      </c>
      <c r="D8" t="s">
        <v>37</v>
      </c>
      <c r="F8">
        <v>0</v>
      </c>
      <c r="G8">
        <f>Sse</f>
        <v>465</v>
      </c>
    </row>
    <row r="9" spans="1:7" ht="12.75">
      <c r="A9" t="s">
        <v>12</v>
      </c>
      <c r="B9" s="10">
        <v>1500</v>
      </c>
      <c r="C9" t="s">
        <v>21</v>
      </c>
      <c r="D9" t="s">
        <v>25</v>
      </c>
      <c r="F9">
        <f>Ssu</f>
        <v>900</v>
      </c>
      <c r="G9">
        <v>0</v>
      </c>
    </row>
    <row r="10" spans="1:6" ht="12.75">
      <c r="A10" t="s">
        <v>23</v>
      </c>
      <c r="B10" s="6">
        <v>465</v>
      </c>
      <c r="C10" t="s">
        <v>21</v>
      </c>
      <c r="D10" s="9" t="s">
        <v>28</v>
      </c>
      <c r="F10" t="s">
        <v>30</v>
      </c>
    </row>
    <row r="11" spans="1:7" ht="12.75">
      <c r="A11" t="s">
        <v>24</v>
      </c>
      <c r="B11">
        <f>0.4*Sut</f>
        <v>600</v>
      </c>
      <c r="C11" t="s">
        <v>21</v>
      </c>
      <c r="D11" s="1" t="s">
        <v>52</v>
      </c>
      <c r="F11">
        <v>0</v>
      </c>
      <c r="G11">
        <f>Ssy</f>
        <v>600</v>
      </c>
    </row>
    <row r="12" spans="1:7" ht="12.75">
      <c r="A12" t="s">
        <v>26</v>
      </c>
      <c r="B12">
        <f>0.6*Sut</f>
        <v>900</v>
      </c>
      <c r="C12" t="s">
        <v>21</v>
      </c>
      <c r="D12" s="1" t="s">
        <v>53</v>
      </c>
      <c r="F12">
        <f>Ssy</f>
        <v>600</v>
      </c>
      <c r="G12">
        <v>0</v>
      </c>
    </row>
    <row r="13" spans="1:6" ht="12.75">
      <c r="A13" t="s">
        <v>27</v>
      </c>
      <c r="B13" s="6">
        <v>1</v>
      </c>
      <c r="F13" t="s">
        <v>35</v>
      </c>
    </row>
    <row r="14" spans="6:7" ht="12.75">
      <c r="F14">
        <v>0</v>
      </c>
      <c r="G14">
        <v>0</v>
      </c>
    </row>
    <row r="15" spans="2:7" ht="12.75">
      <c r="B15">
        <f>Na/dwire</f>
        <v>1.6008559431524547</v>
      </c>
      <c r="F15">
        <f>TmeanMax</f>
        <v>450</v>
      </c>
      <c r="G15">
        <f>TaltMax</f>
        <v>150</v>
      </c>
    </row>
    <row r="17" spans="1:4" ht="12.75">
      <c r="A17" t="s">
        <v>15</v>
      </c>
      <c r="B17">
        <f>0.5*(Pmax+Pmin)</f>
        <v>450</v>
      </c>
      <c r="C17" t="s">
        <v>19</v>
      </c>
      <c r="D17" s="1" t="s">
        <v>54</v>
      </c>
    </row>
    <row r="18" spans="1:4" ht="12.75">
      <c r="A18" t="s">
        <v>16</v>
      </c>
      <c r="B18">
        <f>0.5*(Pmax-Pmin)</f>
        <v>150</v>
      </c>
      <c r="C18" t="s">
        <v>19</v>
      </c>
      <c r="D18" s="1" t="s">
        <v>38</v>
      </c>
    </row>
    <row r="19" spans="1:4" ht="12.75">
      <c r="A19" t="s">
        <v>31</v>
      </c>
      <c r="B19">
        <f>Pmean/Palt</f>
        <v>3</v>
      </c>
      <c r="D19" s="1" t="s">
        <v>39</v>
      </c>
    </row>
    <row r="20" spans="1:4" ht="12.75">
      <c r="A20" t="s">
        <v>32</v>
      </c>
      <c r="B20" s="7">
        <f>(1/(1/Sse+RatioMeanAlt/Ssu))/FOS</f>
        <v>182.3529411764706</v>
      </c>
      <c r="C20" t="s">
        <v>21</v>
      </c>
      <c r="D20" s="8" t="s">
        <v>40</v>
      </c>
    </row>
    <row r="21" spans="1:4" ht="12.75">
      <c r="A21" t="s">
        <v>33</v>
      </c>
      <c r="B21">
        <f>(1/(1/Ssy+RatioMeanAlt/Ssy))/FOS</f>
        <v>150</v>
      </c>
      <c r="C21" t="s">
        <v>21</v>
      </c>
      <c r="D21" s="1" t="s">
        <v>41</v>
      </c>
    </row>
    <row r="22" spans="1:4" ht="12.75">
      <c r="A22" t="s">
        <v>34</v>
      </c>
      <c r="B22" s="7">
        <f>MIN(TaltMaxGood,TaltMaxYield)</f>
        <v>150</v>
      </c>
      <c r="C22" t="s">
        <v>21</v>
      </c>
      <c r="D22" s="8" t="s">
        <v>42</v>
      </c>
    </row>
    <row r="23" spans="1:4" ht="12.75">
      <c r="A23" t="s">
        <v>36</v>
      </c>
      <c r="B23">
        <f>TaltMax*RatioMeanAlt</f>
        <v>450</v>
      </c>
      <c r="C23" t="s">
        <v>21</v>
      </c>
      <c r="D23" s="1" t="s">
        <v>43</v>
      </c>
    </row>
    <row r="25" spans="1:12" ht="12.75">
      <c r="A25" t="s">
        <v>14</v>
      </c>
      <c r="B25">
        <f>DeltaF/DeltaX</f>
        <v>12</v>
      </c>
      <c r="C25" t="s">
        <v>22</v>
      </c>
      <c r="D25" s="1" t="s">
        <v>44</v>
      </c>
      <c r="H25" s="13" t="s">
        <v>63</v>
      </c>
      <c r="I25" s="13"/>
      <c r="J25" s="13"/>
      <c r="K25" s="13"/>
      <c r="L25" s="13"/>
    </row>
    <row r="26" spans="1:12" ht="12.75">
      <c r="A26" t="s">
        <v>17</v>
      </c>
      <c r="B26" s="2">
        <f>SQRT(8*C_*Kb*Palt/(PI()*TaltMax))</f>
        <v>4.887148214117938</v>
      </c>
      <c r="C26" t="s">
        <v>20</v>
      </c>
      <c r="D26" s="3" t="s">
        <v>45</v>
      </c>
      <c r="H26" t="s">
        <v>55</v>
      </c>
      <c r="I26" t="s">
        <v>56</v>
      </c>
      <c r="J26" t="s">
        <v>57</v>
      </c>
      <c r="K26" t="s">
        <v>58</v>
      </c>
      <c r="L26" t="s">
        <v>59</v>
      </c>
    </row>
    <row r="27" spans="1:12" ht="12.75">
      <c r="A27" t="s">
        <v>18</v>
      </c>
      <c r="B27" s="2">
        <f>dwire*C_</f>
        <v>39.09718571294351</v>
      </c>
      <c r="C27" t="s">
        <v>20</v>
      </c>
      <c r="D27" s="3" t="s">
        <v>46</v>
      </c>
      <c r="G27" t="s">
        <v>60</v>
      </c>
      <c r="H27">
        <v>2170</v>
      </c>
      <c r="I27">
        <v>1880</v>
      </c>
      <c r="J27">
        <v>1750</v>
      </c>
      <c r="K27">
        <v>2000</v>
      </c>
      <c r="L27">
        <v>2000</v>
      </c>
    </row>
    <row r="28" spans="1:12" ht="12.75">
      <c r="A28" t="s">
        <v>2</v>
      </c>
      <c r="B28" s="2">
        <f>(G*dwire)/(K*8*C_^3*(1+0.5/C_^2))</f>
        <v>7.823620263637607</v>
      </c>
      <c r="D28" s="3" t="s">
        <v>47</v>
      </c>
      <c r="G28" t="s">
        <v>61</v>
      </c>
      <c r="H28">
        <v>0.146</v>
      </c>
      <c r="I28">
        <v>0.186</v>
      </c>
      <c r="J28">
        <v>0.192</v>
      </c>
      <c r="K28">
        <v>0.167</v>
      </c>
      <c r="L28">
        <v>0.112</v>
      </c>
    </row>
    <row r="29" spans="1:14" ht="12.75">
      <c r="A29" t="s">
        <v>3</v>
      </c>
      <c r="B29" s="2">
        <f>Na+2</f>
        <v>9.823620263637608</v>
      </c>
      <c r="D29" s="3" t="s">
        <v>4</v>
      </c>
      <c r="G29" t="s">
        <v>12</v>
      </c>
      <c r="H29" s="11">
        <f>H27/(dwire^H28)</f>
        <v>1721.3042036449272</v>
      </c>
      <c r="I29" s="11">
        <f>I27/(dwire^I28)</f>
        <v>1399.5664538955082</v>
      </c>
      <c r="J29" s="11">
        <f>J27/(dwire^J28)</f>
        <v>1290.444677597255</v>
      </c>
      <c r="K29" s="11">
        <f>K27/(dwire^K28)</f>
        <v>1534.4676093311248</v>
      </c>
      <c r="L29" s="11">
        <f>L27/(dwire^L28)</f>
        <v>1674.3867496050702</v>
      </c>
      <c r="M29" t="s">
        <v>21</v>
      </c>
      <c r="N29" s="1" t="s">
        <v>70</v>
      </c>
    </row>
    <row r="30" spans="1:4" ht="12.75">
      <c r="A30" t="s">
        <v>5</v>
      </c>
      <c r="B30" s="4">
        <f>Nt*dwire</f>
        <v>48.009488227609324</v>
      </c>
      <c r="C30" t="s">
        <v>20</v>
      </c>
      <c r="D30" s="5" t="s">
        <v>48</v>
      </c>
    </row>
    <row r="31" spans="1:13" ht="12.75">
      <c r="A31" t="s">
        <v>6</v>
      </c>
      <c r="B31" s="4">
        <f>1.1*Lsolid+DeltaX</f>
        <v>77.81043705037027</v>
      </c>
      <c r="C31" t="s">
        <v>20</v>
      </c>
      <c r="D31" s="5" t="s">
        <v>49</v>
      </c>
      <c r="F31" t="s">
        <v>62</v>
      </c>
      <c r="G31" s="6">
        <v>5</v>
      </c>
      <c r="H31" s="12">
        <f>H27/($G$31^H28)</f>
        <v>1715.5765971048577</v>
      </c>
      <c r="I31" s="12">
        <f>I27/($G$31^I28)</f>
        <v>1393.6362313019051</v>
      </c>
      <c r="J31" s="12">
        <f>J27/($G$31^J28)</f>
        <v>1284.8008281023235</v>
      </c>
      <c r="K31" s="12">
        <f>K27/($G$31^K28)</f>
        <v>1528.6286849935516</v>
      </c>
      <c r="L31" s="12">
        <f>L27/($G$31^L28)</f>
        <v>1670.1110719511082</v>
      </c>
      <c r="M31" t="s">
        <v>21</v>
      </c>
    </row>
    <row r="34" spans="1:4" ht="12.75">
      <c r="A34" t="s">
        <v>7</v>
      </c>
      <c r="B34">
        <f>Lfree/Dmean</f>
        <v>1.990179999697788</v>
      </c>
      <c r="D34" s="1" t="s">
        <v>66</v>
      </c>
    </row>
    <row r="35" spans="1:4" ht="12.75">
      <c r="A35" t="s">
        <v>64</v>
      </c>
      <c r="B35">
        <f>DeltaX/Lfree</f>
        <v>0.32129365863626175</v>
      </c>
      <c r="D35" s="1" t="s">
        <v>67</v>
      </c>
    </row>
    <row r="36" spans="6:7" ht="12.75">
      <c r="F36">
        <v>1</v>
      </c>
      <c r="G36">
        <f>DeltaX_Lfree</f>
        <v>0.32129365863626175</v>
      </c>
    </row>
    <row r="37" spans="1:7" ht="12.75">
      <c r="A37" t="s">
        <v>65</v>
      </c>
      <c r="B37" s="7">
        <f>353000*dwire/(Nt*Dmean^2)</f>
        <v>114.88614446067083</v>
      </c>
      <c r="C37" t="s">
        <v>68</v>
      </c>
      <c r="D37" s="8" t="s">
        <v>69</v>
      </c>
      <c r="F37">
        <f>Lfree_D</f>
        <v>1.990179999697788</v>
      </c>
      <c r="G37">
        <f>DeltaX_Lfree</f>
        <v>0.32129365863626175</v>
      </c>
    </row>
    <row r="38" spans="6:7" ht="12.75">
      <c r="F38">
        <f>Lfree_D</f>
        <v>1.990179999697788</v>
      </c>
      <c r="G38">
        <v>0.05</v>
      </c>
    </row>
  </sheetData>
  <sheetProtection/>
  <mergeCells count="1">
    <mergeCell ref="H25:L25"/>
  </mergeCells>
  <printOptions/>
  <pageMargins left="0.7" right="0.7" top="0.75" bottom="0.75" header="0.3" footer="0.3"/>
  <pageSetup fitToHeight="1" fitToWidth="1" horizontalDpi="600" verticalDpi="600" orientation="portrait" scale="61" r:id="rId2"/>
  <headerFooter alignWithMargins="0">
    <oddHeader>&amp;L&amp;F&amp;R&amp;D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38"/>
  <sheetViews>
    <sheetView zoomScalePageLayoutView="0" workbookViewId="0" topLeftCell="A1">
      <selection activeCell="B6" sqref="B6"/>
    </sheetView>
  </sheetViews>
  <sheetFormatPr defaultColWidth="9.140625" defaultRowHeight="12.75"/>
  <cols>
    <col min="1" max="1" width="12.140625" style="0" bestFit="1" customWidth="1"/>
    <col min="4" max="4" width="32.140625" style="0" bestFit="1" customWidth="1"/>
    <col min="5" max="5" width="2.57421875" style="0" customWidth="1"/>
    <col min="6" max="6" width="13.57421875" style="0" bestFit="1" customWidth="1"/>
    <col min="10" max="10" width="10.57421875" style="0" bestFit="1" customWidth="1"/>
    <col min="11" max="11" width="9.7109375" style="0" bestFit="1" customWidth="1"/>
    <col min="12" max="12" width="12.00390625" style="0" bestFit="1" customWidth="1"/>
  </cols>
  <sheetData>
    <row r="2" spans="1:3" ht="12.75">
      <c r="A2" t="s">
        <v>13</v>
      </c>
      <c r="B2" s="6">
        <v>300</v>
      </c>
      <c r="C2" t="s">
        <v>19</v>
      </c>
    </row>
    <row r="3" spans="1:3" ht="12.75">
      <c r="A3" t="s">
        <v>1</v>
      </c>
      <c r="B3" s="6">
        <v>600</v>
      </c>
      <c r="C3" t="s">
        <v>19</v>
      </c>
    </row>
    <row r="4" spans="1:4" ht="12.75">
      <c r="A4" t="s">
        <v>8</v>
      </c>
      <c r="B4">
        <f>Pmax-Pmin</f>
        <v>300</v>
      </c>
      <c r="C4" t="s">
        <v>19</v>
      </c>
      <c r="D4" s="1" t="s">
        <v>50</v>
      </c>
    </row>
    <row r="5" spans="1:3" ht="12.75">
      <c r="A5" t="s">
        <v>9</v>
      </c>
      <c r="B5" s="6">
        <v>25</v>
      </c>
      <c r="C5" t="s">
        <v>20</v>
      </c>
    </row>
    <row r="6" spans="1:2" ht="12.75">
      <c r="A6" t="s">
        <v>10</v>
      </c>
      <c r="B6" s="6">
        <v>10</v>
      </c>
    </row>
    <row r="7" spans="1:6" ht="12.75">
      <c r="A7" t="s">
        <v>11</v>
      </c>
      <c r="B7" s="2">
        <f>(4*C_+2)/(4*C_-3)</f>
        <v>1.135135135135135</v>
      </c>
      <c r="D7" s="1" t="s">
        <v>51</v>
      </c>
      <c r="F7" t="s">
        <v>29</v>
      </c>
    </row>
    <row r="8" spans="1:7" ht="12.75">
      <c r="A8" t="s">
        <v>0</v>
      </c>
      <c r="B8" s="6">
        <v>79300</v>
      </c>
      <c r="C8" t="s">
        <v>21</v>
      </c>
      <c r="D8" t="s">
        <v>37</v>
      </c>
      <c r="F8">
        <v>0</v>
      </c>
      <c r="G8">
        <f>Sse</f>
        <v>465</v>
      </c>
    </row>
    <row r="9" spans="1:7" ht="12.75">
      <c r="A9" t="s">
        <v>12</v>
      </c>
      <c r="B9" s="10">
        <v>1714</v>
      </c>
      <c r="C9" t="s">
        <v>21</v>
      </c>
      <c r="D9" t="s">
        <v>25</v>
      </c>
      <c r="F9">
        <f>Ssu</f>
        <v>1028.3999999999999</v>
      </c>
      <c r="G9">
        <v>0</v>
      </c>
    </row>
    <row r="10" spans="1:6" ht="12.75">
      <c r="A10" t="s">
        <v>23</v>
      </c>
      <c r="B10" s="6">
        <v>465</v>
      </c>
      <c r="C10" t="s">
        <v>21</v>
      </c>
      <c r="D10" s="9" t="s">
        <v>28</v>
      </c>
      <c r="F10" t="s">
        <v>30</v>
      </c>
    </row>
    <row r="11" spans="1:7" ht="12.75">
      <c r="A11" t="s">
        <v>24</v>
      </c>
      <c r="B11">
        <f>0.4*Sut</f>
        <v>685.6</v>
      </c>
      <c r="C11" t="s">
        <v>21</v>
      </c>
      <c r="D11" s="1" t="s">
        <v>52</v>
      </c>
      <c r="F11">
        <v>0</v>
      </c>
      <c r="G11">
        <f>Ssy</f>
        <v>685.6</v>
      </c>
    </row>
    <row r="12" spans="1:7" ht="12.75">
      <c r="A12" t="s">
        <v>26</v>
      </c>
      <c r="B12">
        <f>0.6*Sut</f>
        <v>1028.3999999999999</v>
      </c>
      <c r="C12" t="s">
        <v>21</v>
      </c>
      <c r="D12" s="1" t="s">
        <v>53</v>
      </c>
      <c r="F12">
        <f>Ssy</f>
        <v>685.6</v>
      </c>
      <c r="G12">
        <v>0</v>
      </c>
    </row>
    <row r="13" spans="1:6" ht="12.75">
      <c r="A13" t="s">
        <v>27</v>
      </c>
      <c r="B13" s="6">
        <v>1</v>
      </c>
      <c r="F13" t="s">
        <v>35</v>
      </c>
    </row>
    <row r="14" spans="6:7" ht="12.75">
      <c r="F14">
        <v>0</v>
      </c>
      <c r="G14">
        <v>0</v>
      </c>
    </row>
    <row r="15" spans="6:7" ht="12.75">
      <c r="F15">
        <f>TmeanMax</f>
        <v>514.2</v>
      </c>
      <c r="G15">
        <f>TaltMax</f>
        <v>171.4</v>
      </c>
    </row>
    <row r="17" spans="1:4" ht="12.75">
      <c r="A17" t="s">
        <v>15</v>
      </c>
      <c r="B17">
        <f>0.5*(Pmax+Pmin)</f>
        <v>450</v>
      </c>
      <c r="C17" t="s">
        <v>19</v>
      </c>
      <c r="D17" s="1" t="s">
        <v>54</v>
      </c>
    </row>
    <row r="18" spans="1:4" ht="12.75">
      <c r="A18" t="s">
        <v>16</v>
      </c>
      <c r="B18">
        <f>0.5*(Pmax-Pmin)</f>
        <v>150</v>
      </c>
      <c r="C18" t="s">
        <v>19</v>
      </c>
      <c r="D18" s="1" t="s">
        <v>38</v>
      </c>
    </row>
    <row r="19" spans="1:4" ht="12.75">
      <c r="A19" t="s">
        <v>31</v>
      </c>
      <c r="B19">
        <f>Pmean/Palt</f>
        <v>3</v>
      </c>
      <c r="D19" s="1" t="s">
        <v>39</v>
      </c>
    </row>
    <row r="20" spans="1:4" ht="12.75">
      <c r="A20" t="s">
        <v>32</v>
      </c>
      <c r="B20" s="7">
        <f>(1/(1/Sse+RatioMeanAlt/Ssu))/FOS</f>
        <v>197.3285466699678</v>
      </c>
      <c r="C20" t="s">
        <v>21</v>
      </c>
      <c r="D20" s="8" t="s">
        <v>40</v>
      </c>
    </row>
    <row r="21" spans="1:4" ht="12.75">
      <c r="A21" t="s">
        <v>33</v>
      </c>
      <c r="B21">
        <f>(1/(1/Ssy+RatioMeanAlt/Ssy))/FOS</f>
        <v>171.4</v>
      </c>
      <c r="C21" t="s">
        <v>21</v>
      </c>
      <c r="D21" s="1" t="s">
        <v>41</v>
      </c>
    </row>
    <row r="22" spans="1:4" ht="12.75">
      <c r="A22" t="s">
        <v>34</v>
      </c>
      <c r="B22" s="7">
        <f>MIN(TaltMaxGood,TaltMaxYield)</f>
        <v>171.4</v>
      </c>
      <c r="C22" t="s">
        <v>21</v>
      </c>
      <c r="D22" s="8" t="s">
        <v>42</v>
      </c>
    </row>
    <row r="23" spans="1:4" ht="12.75">
      <c r="A23" t="s">
        <v>36</v>
      </c>
      <c r="B23">
        <f>TaltMax*RatioMeanAlt</f>
        <v>514.2</v>
      </c>
      <c r="C23" t="s">
        <v>21</v>
      </c>
      <c r="D23" s="1" t="s">
        <v>43</v>
      </c>
    </row>
    <row r="25" spans="1:12" ht="12.75">
      <c r="A25" t="s">
        <v>14</v>
      </c>
      <c r="B25">
        <f>DeltaF/DeltaX</f>
        <v>12</v>
      </c>
      <c r="C25" t="s">
        <v>22</v>
      </c>
      <c r="D25" s="1" t="s">
        <v>44</v>
      </c>
      <c r="H25" s="13" t="s">
        <v>63</v>
      </c>
      <c r="I25" s="13"/>
      <c r="J25" s="13"/>
      <c r="K25" s="13"/>
      <c r="L25" s="13"/>
    </row>
    <row r="26" spans="1:12" ht="12.75">
      <c r="A26" t="s">
        <v>17</v>
      </c>
      <c r="B26" s="2">
        <f>SQRT(8*C_*Kb*Palt/(PI()*TaltMax))</f>
        <v>5.029607107390051</v>
      </c>
      <c r="C26" t="s">
        <v>20</v>
      </c>
      <c r="D26" s="3" t="s">
        <v>45</v>
      </c>
      <c r="H26" t="s">
        <v>55</v>
      </c>
      <c r="I26" t="s">
        <v>56</v>
      </c>
      <c r="J26" t="s">
        <v>57</v>
      </c>
      <c r="K26" t="s">
        <v>58</v>
      </c>
      <c r="L26" t="s">
        <v>59</v>
      </c>
    </row>
    <row r="27" spans="1:12" ht="12.75">
      <c r="A27" t="s">
        <v>18</v>
      </c>
      <c r="B27" s="2">
        <f>dwire*C_</f>
        <v>50.29607107390051</v>
      </c>
      <c r="C27" t="s">
        <v>20</v>
      </c>
      <c r="D27" s="3" t="s">
        <v>46</v>
      </c>
      <c r="G27" t="s">
        <v>60</v>
      </c>
      <c r="H27">
        <v>2170</v>
      </c>
      <c r="I27">
        <v>1880</v>
      </c>
      <c r="J27">
        <v>1750</v>
      </c>
      <c r="K27">
        <v>2000</v>
      </c>
      <c r="L27">
        <v>2000</v>
      </c>
    </row>
    <row r="28" spans="1:12" ht="12.75">
      <c r="A28" t="s">
        <v>2</v>
      </c>
      <c r="B28" s="2">
        <f>(G*dwire)/(K*8*C_^3*(1+0.5/C_^2))</f>
        <v>4.133995062355215</v>
      </c>
      <c r="D28" s="3" t="s">
        <v>47</v>
      </c>
      <c r="G28" t="s">
        <v>61</v>
      </c>
      <c r="H28">
        <v>0.146</v>
      </c>
      <c r="I28">
        <v>0.186</v>
      </c>
      <c r="J28">
        <v>0.192</v>
      </c>
      <c r="K28">
        <v>0.167</v>
      </c>
      <c r="L28">
        <v>0.112</v>
      </c>
    </row>
    <row r="29" spans="1:14" ht="12.75">
      <c r="A29" t="s">
        <v>3</v>
      </c>
      <c r="B29" s="2">
        <f>Na+2</f>
        <v>6.133995062355215</v>
      </c>
      <c r="D29" s="3" t="s">
        <v>4</v>
      </c>
      <c r="G29" t="s">
        <v>12</v>
      </c>
      <c r="H29" s="11">
        <f>H27/(dwire^H28)</f>
        <v>1714.098445014731</v>
      </c>
      <c r="I29" s="11">
        <f>I27/(dwire^I28)</f>
        <v>1392.1066687131956</v>
      </c>
      <c r="J29" s="11">
        <f>J27/(dwire^J28)</f>
        <v>1283.3452543154158</v>
      </c>
      <c r="K29" s="11">
        <f>K27/(dwire^K28)</f>
        <v>1527.1222593136388</v>
      </c>
      <c r="L29" s="11">
        <f>L27/(dwire^L28)</f>
        <v>1669.007087099861</v>
      </c>
      <c r="M29" t="s">
        <v>21</v>
      </c>
      <c r="N29" s="1" t="s">
        <v>70</v>
      </c>
    </row>
    <row r="30" spans="1:4" ht="12.75">
      <c r="A30" t="s">
        <v>5</v>
      </c>
      <c r="B30" s="4">
        <f>Nt*dwire</f>
        <v>30.851585162317267</v>
      </c>
      <c r="C30" t="s">
        <v>20</v>
      </c>
      <c r="D30" s="5" t="s">
        <v>48</v>
      </c>
    </row>
    <row r="31" spans="1:13" ht="12.75">
      <c r="A31" t="s">
        <v>6</v>
      </c>
      <c r="B31" s="4">
        <f>1.1*Lsolid+DeltaX</f>
        <v>58.936743678549</v>
      </c>
      <c r="C31" t="s">
        <v>20</v>
      </c>
      <c r="D31" s="5" t="s">
        <v>49</v>
      </c>
      <c r="F31" t="s">
        <v>62</v>
      </c>
      <c r="G31" s="6">
        <v>5</v>
      </c>
      <c r="H31" s="12">
        <f>H27/($G$31^H28)</f>
        <v>1715.5765971048577</v>
      </c>
      <c r="I31" s="12">
        <f>I27/($G$31^I28)</f>
        <v>1393.6362313019051</v>
      </c>
      <c r="J31" s="12">
        <f>J27/($G$31^J28)</f>
        <v>1284.8008281023235</v>
      </c>
      <c r="K31" s="12">
        <f>K27/($G$31^K28)</f>
        <v>1528.6286849935516</v>
      </c>
      <c r="L31" s="12">
        <f>L27/($G$31^L28)</f>
        <v>1670.1110719511082</v>
      </c>
      <c r="M31" t="s">
        <v>21</v>
      </c>
    </row>
    <row r="34" spans="1:4" ht="12.75">
      <c r="A34" t="s">
        <v>7</v>
      </c>
      <c r="B34">
        <f>Lfree/Dmean</f>
        <v>1.171796174535237</v>
      </c>
      <c r="D34" s="1" t="s">
        <v>66</v>
      </c>
    </row>
    <row r="35" spans="1:4" ht="12.75">
      <c r="A35" t="s">
        <v>64</v>
      </c>
      <c r="B35">
        <f>DeltaX/Lfree</f>
        <v>0.4241835982041058</v>
      </c>
      <c r="D35" s="1" t="s">
        <v>67</v>
      </c>
    </row>
    <row r="36" spans="6:7" ht="12.75">
      <c r="F36">
        <v>1</v>
      </c>
      <c r="G36">
        <f>DeltaX_Lfree</f>
        <v>0.4241835982041058</v>
      </c>
    </row>
    <row r="37" spans="1:7" ht="12.75">
      <c r="A37" t="s">
        <v>65</v>
      </c>
      <c r="B37" s="7">
        <f>353000*dwire/(Nt*Dmean^2)</f>
        <v>114.41875616529461</v>
      </c>
      <c r="C37" t="s">
        <v>68</v>
      </c>
      <c r="D37" s="8" t="s">
        <v>69</v>
      </c>
      <c r="F37">
        <f>Lfree_D</f>
        <v>1.171796174535237</v>
      </c>
      <c r="G37">
        <f>DeltaX_Lfree</f>
        <v>0.4241835982041058</v>
      </c>
    </row>
    <row r="38" spans="6:7" ht="12.75">
      <c r="F38">
        <f>Lfree_D</f>
        <v>1.171796174535237</v>
      </c>
      <c r="G38">
        <v>0.05</v>
      </c>
    </row>
  </sheetData>
  <sheetProtection/>
  <mergeCells count="1">
    <mergeCell ref="H25:L25"/>
  </mergeCells>
  <printOptions/>
  <pageMargins left="0.7" right="0.7" top="0.75" bottom="0.75" header="0.3" footer="0.3"/>
  <pageSetup fitToHeight="1" fitToWidth="1" horizontalDpi="600" verticalDpi="600" orientation="portrait" scale="61" r:id="rId2"/>
  <headerFooter alignWithMargins="0">
    <oddHeader>&amp;L&amp;F&amp;R&amp;D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ASML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Bill Dornfeld</dc:creator>
  <cp:keywords/>
  <dc:description/>
  <cp:lastModifiedBy>Dornfeld</cp:lastModifiedBy>
  <cp:lastPrinted>2013-12-05T05:10:31Z</cp:lastPrinted>
  <dcterms:created xsi:type="dcterms:W3CDTF">2013-12-04T13:36:17Z</dcterms:created>
  <dcterms:modified xsi:type="dcterms:W3CDTF">2013-12-05T05:54:47Z</dcterms:modified>
  <cp:category/>
  <cp:version/>
  <cp:contentType/>
  <cp:contentStatus/>
</cp:coreProperties>
</file>