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mo\Documents\University\Salary Committee\FSC 2020-21\Summer 2021, new revision to MOU\"/>
    </mc:Choice>
  </mc:AlternateContent>
  <xr:revisionPtr revIDLastSave="0" documentId="8_{E2AAD6E1-246F-4EAE-B9A1-87AD68C41E96}" xr6:coauthVersionLast="47" xr6:coauthVersionMax="47" xr10:uidLastSave="{00000000-0000-0000-0000-000000000000}"/>
  <bookViews>
    <workbookView xWindow="1294" yWindow="1714" windowWidth="32915" windowHeight="16775" xr2:uid="{EA0EE692-BE1C-48A1-98D9-08D2DE385AF5}"/>
  </bookViews>
  <sheets>
    <sheet name="Model" sheetId="4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4" l="1"/>
  <c r="B11" i="4"/>
  <c r="P32" i="4"/>
  <c r="B20" i="4"/>
  <c r="A32" i="4" l="1"/>
  <c r="C32" i="4"/>
  <c r="B32" i="4"/>
  <c r="D32" i="4" s="1"/>
  <c r="B25" i="4"/>
  <c r="E22" i="1"/>
  <c r="B9" i="4"/>
  <c r="B10" i="4"/>
  <c r="B8" i="4"/>
  <c r="E32" i="4" l="1"/>
  <c r="B12" i="4" s="1"/>
  <c r="B13" i="4" s="1"/>
  <c r="B23" i="4"/>
  <c r="O32" i="4"/>
  <c r="F32" i="4"/>
  <c r="G32" i="4" s="1"/>
  <c r="E24" i="1"/>
  <c r="F24" i="1" s="1"/>
  <c r="E23" i="1"/>
  <c r="F23" i="1" s="1"/>
  <c r="F22" i="1"/>
  <c r="E21" i="1"/>
  <c r="F21" i="1" s="1"/>
  <c r="N10" i="1"/>
  <c r="N11" i="1"/>
  <c r="N12" i="1"/>
  <c r="N9" i="1"/>
  <c r="E10" i="1"/>
  <c r="F10" i="1" s="1"/>
  <c r="G10" i="1" s="1"/>
  <c r="H10" i="1" s="1"/>
  <c r="K10" i="1" s="1"/>
  <c r="E11" i="1"/>
  <c r="F11" i="1" s="1"/>
  <c r="E12" i="1"/>
  <c r="F12" i="1" s="1"/>
  <c r="E9" i="1"/>
  <c r="F9" i="1" s="1"/>
  <c r="H32" i="4" l="1"/>
  <c r="K32" i="4"/>
  <c r="L32" i="4" s="1"/>
  <c r="M32" i="4" s="1"/>
  <c r="G23" i="1"/>
  <c r="H23" i="1" s="1"/>
  <c r="K23" i="1" s="1"/>
  <c r="L23" i="1" s="1"/>
  <c r="M23" i="1" s="1"/>
  <c r="G24" i="1"/>
  <c r="H24" i="1" s="1"/>
  <c r="K24" i="1" s="1"/>
  <c r="G21" i="1"/>
  <c r="H21" i="1"/>
  <c r="K21" i="1" s="1"/>
  <c r="G22" i="1"/>
  <c r="H22" i="1"/>
  <c r="L10" i="1"/>
  <c r="M10" i="1"/>
  <c r="G9" i="1"/>
  <c r="H9" i="1" s="1"/>
  <c r="K9" i="1" s="1"/>
  <c r="G12" i="1"/>
  <c r="H12" i="1"/>
  <c r="K12" i="1" s="1"/>
  <c r="G11" i="1"/>
  <c r="H11" i="1" s="1"/>
  <c r="K11" i="1" s="1"/>
  <c r="B15" i="4" l="1"/>
  <c r="N32" i="4"/>
  <c r="K22" i="1"/>
  <c r="N23" i="1"/>
  <c r="O23" i="1" s="1"/>
  <c r="L24" i="1"/>
  <c r="M24" i="1" s="1"/>
  <c r="L21" i="1"/>
  <c r="M21" i="1" s="1"/>
  <c r="L22" i="1"/>
  <c r="M22" i="1" s="1"/>
  <c r="L11" i="1"/>
  <c r="M11" i="1"/>
  <c r="O10" i="1"/>
  <c r="L9" i="1"/>
  <c r="M9" i="1" s="1"/>
  <c r="L12" i="1"/>
  <c r="M12" i="1"/>
  <c r="Q32" i="4" l="1"/>
  <c r="B16" i="4"/>
  <c r="B19" i="4" s="1"/>
  <c r="O21" i="1"/>
  <c r="N21" i="1"/>
  <c r="N24" i="1"/>
  <c r="O24" i="1"/>
  <c r="N22" i="1"/>
  <c r="O22" i="1" s="1"/>
  <c r="O9" i="1"/>
  <c r="Q10" i="1"/>
  <c r="R10" i="1" s="1"/>
  <c r="O11" i="1"/>
  <c r="O12" i="1"/>
  <c r="B21" i="4" l="1"/>
  <c r="B22" i="4" s="1"/>
  <c r="B24" i="4" s="1"/>
  <c r="Q12" i="1"/>
  <c r="R12" i="1" s="1"/>
  <c r="S10" i="1"/>
  <c r="T10" i="1"/>
  <c r="Q11" i="1"/>
  <c r="R11" i="1" s="1"/>
  <c r="Q9" i="1"/>
  <c r="R9" i="1" s="1"/>
  <c r="B27" i="4" l="1"/>
  <c r="S12" i="1"/>
  <c r="T12" i="1" s="1"/>
  <c r="S9" i="1"/>
  <c r="T9" i="1"/>
  <c r="S11" i="1"/>
  <c r="T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Puleo</author>
  </authors>
  <commentList>
    <comment ref="B4" authorId="0" shapeId="0" xr:uid="{C7D2FC45-CA53-4789-A217-B85E36024BB8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Please enter your FY 2021 salary here</t>
        </r>
      </text>
    </comment>
    <comment ref="B8" authorId="0" shapeId="0" xr:uid="{E0379CF6-F98F-43DC-9B18-7B7D278D30B2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FY 2021 Mean Base Salary by rank from current actuals (see 'Data' tab)
</t>
        </r>
      </text>
    </comment>
    <comment ref="B11" authorId="0" shapeId="0" xr:uid="{2700E253-B92E-404C-93A2-248DA800A29C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FY 2021Total Mean Salary by rank (see 'Data' tab)</t>
        </r>
      </text>
    </comment>
    <comment ref="B13" authorId="0" shapeId="0" xr:uid="{CB192E14-1112-4450-9855-2A0CE8333193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Max of FY 2021 Total Salary including Supplemental or Rank Mean FY 2021 Total Salary including Supplemental.  See MOU Section 2.c.</t>
        </r>
      </text>
    </comment>
    <comment ref="B18" authorId="0" shapeId="0" xr:uid="{B1C18280-F322-4028-814B-098E553ACA83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Equal to $150 for all faculty members.  See MOU Section 4.a.</t>
        </r>
      </text>
    </comment>
    <comment ref="B19" authorId="0" shapeId="0" xr:uid="{67D0651C-D020-4F0C-BC2C-CA98E0DA1C48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Restored FY 2021 Salary + Lump Sum and 1.75% Supplemental increases.  See MOU Section 4.b.</t>
        </r>
      </text>
    </comment>
    <comment ref="B20" authorId="0" shapeId="0" xr:uid="{C7C70EC3-6EE0-428B-AB80-C717F051D1A1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FY 2022 Mean Total Salary from 'Data' tab (using FY 2021 Rank).
</t>
        </r>
      </text>
    </comment>
    <comment ref="B21" authorId="0" shapeId="0" xr:uid="{966F298C-D62F-4120-BBC1-F446734F44EF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Max of FY 2022 Total Salary including Supplemental or Rank Mean FY 2022 Total Salary including Supplemental.  See MOU Section 4.c.</t>
        </r>
      </text>
    </comment>
    <comment ref="B22" authorId="0" shapeId="0" xr:uid="{D86BBD2B-8FE6-4EB4-9576-965E4561939E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FY 2022 Merit Increase Salary Basis x 2.25%.  See MOU Section 2.c.</t>
        </r>
      </text>
    </comment>
    <comment ref="B23" authorId="0" shapeId="0" xr:uid="{C7FA6ADB-1CEC-4961-A578-D614C24C1807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Equal to $1,000 if promoted and earning above mean salary by rank, otherwise equal to $0.  See MOU Section 4.f.</t>
        </r>
      </text>
    </comment>
    <comment ref="B25" authorId="0" shapeId="0" xr:uid="{A9C6E620-1637-4A4E-AEEF-2BBB287EDB38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FY 2022 Total Minimum Salary by Rank (See Data tab).</t>
        </r>
      </text>
    </comment>
    <comment ref="C31" authorId="0" shapeId="0" xr:uid="{86575FB4-47C4-4A36-955F-D39CFFB0F6AE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$306 for Associates, otherwise $0.  See MOU Section 2.b.</t>
        </r>
      </text>
    </comment>
    <comment ref="D31" authorId="0" shapeId="0" xr:uid="{085458B4-6A08-40DE-B018-7E0C6EB3D098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See MOU Section 2.b.
</t>
        </r>
      </text>
    </comment>
    <comment ref="F31" authorId="0" shapeId="0" xr:uid="{405ECC89-0727-4F48-871B-0C76FA630748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(Max of FY 2021 Total Salary or FY 2021 Rank Mean Total Salary) x 2.25%.  See MOU Section 2.c.</t>
        </r>
      </text>
    </comment>
    <comment ref="J31" authorId="0" shapeId="0" xr:uid="{B5B9AE82-3692-4158-8839-C195B0AD2971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See MOU Section 4.a.</t>
        </r>
      </text>
    </comment>
    <comment ref="L31" authorId="0" shapeId="0" xr:uid="{FA88DEAB-066E-444D-B225-4E6A5148ECE7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See MOU Section 4.b.
</t>
        </r>
      </text>
    </comment>
    <comment ref="N31" authorId="0" shapeId="0" xr:uid="{36BD773C-3BB9-4CB3-93AD-1F17305FAD07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(Max of FY 2022 Total Salary or FY 2022 Rank Mean Total Salary) x 2.25%.  See MOU Section 4.c.</t>
        </r>
      </text>
    </comment>
    <comment ref="O31" authorId="0" shapeId="0" xr:uid="{2562A175-653F-4CE1-9CE5-A6ABEC4333A8}">
      <text>
        <r>
          <rPr>
            <b/>
            <sz val="9"/>
            <color indexed="81"/>
            <rFont val="Tahoma"/>
            <family val="2"/>
          </rPr>
          <t>Mike Puleo:</t>
        </r>
        <r>
          <rPr>
            <sz val="9"/>
            <color indexed="81"/>
            <rFont val="Tahoma"/>
            <family val="2"/>
          </rPr>
          <t xml:space="preserve">
Equal to $1,000 if promoted and above mean salary of rank, otherwise $0.  See MOU Section 4.f.</t>
        </r>
      </text>
    </comment>
  </commentList>
</comments>
</file>

<file path=xl/sharedStrings.xml><?xml version="1.0" encoding="utf-8"?>
<sst xmlns="http://schemas.openxmlformats.org/spreadsheetml/2006/main" count="115" uniqueCount="82">
  <si>
    <t>Instructor</t>
  </si>
  <si>
    <t>Assistant</t>
  </si>
  <si>
    <t>Associate</t>
  </si>
  <si>
    <t>Professor</t>
  </si>
  <si>
    <t>lump sum</t>
  </si>
  <si>
    <t>add 2.25%</t>
  </si>
  <si>
    <t>Total Min Salary</t>
  </si>
  <si>
    <t>FY2022</t>
  </si>
  <si>
    <t>$150 lump sum</t>
  </si>
  <si>
    <t>New Minimum</t>
  </si>
  <si>
    <t>FY2023</t>
  </si>
  <si>
    <t>Annual Minimum Salary Calculations</t>
  </si>
  <si>
    <t>add supp</t>
  </si>
  <si>
    <t>percentage</t>
  </si>
  <si>
    <t>total</t>
  </si>
  <si>
    <t>including spp</t>
  </si>
  <si>
    <t>add supp .0066</t>
  </si>
  <si>
    <t>Restored FY2021</t>
  </si>
  <si>
    <t>New Minimum Salaries for FY 2022</t>
  </si>
  <si>
    <t>FY2021</t>
  </si>
  <si>
    <t>Restoration of FY 2021 Salaries</t>
  </si>
  <si>
    <t>add FY2022</t>
  </si>
  <si>
    <t xml:space="preserve">$150 lump sum </t>
  </si>
  <si>
    <t>total including</t>
  </si>
  <si>
    <t>supp percentage</t>
  </si>
  <si>
    <t xml:space="preserve">Total Min Salary </t>
  </si>
  <si>
    <t>including supp</t>
  </si>
  <si>
    <t>from current</t>
  </si>
  <si>
    <t>MOU</t>
  </si>
  <si>
    <t>actuals</t>
  </si>
  <si>
    <t>Annual Mean Salary Calculations</t>
  </si>
  <si>
    <t>Restoration of FY 2021 Salaries added to the mean by rank</t>
  </si>
  <si>
    <t>New Mean Salaries for FY 2022</t>
  </si>
  <si>
    <t>add merit</t>
  </si>
  <si>
    <t>merit</t>
  </si>
  <si>
    <t>If merit is 2.25% (vs 1% below tuition increase) for FY2023</t>
  </si>
  <si>
    <t>Total Mean Salary</t>
  </si>
  <si>
    <t xml:space="preserve">Total Mean Salary </t>
  </si>
  <si>
    <t>Legend:</t>
  </si>
  <si>
    <t>Input Cell</t>
  </si>
  <si>
    <t>Output Cell</t>
  </si>
  <si>
    <t>Additional Data:</t>
  </si>
  <si>
    <t>Faculty Information:</t>
  </si>
  <si>
    <t>Estimated FY 2021 Restoration Payment</t>
  </si>
  <si>
    <t>Future Rank (FY 2022)</t>
  </si>
  <si>
    <t>Promoted in FY 2021?</t>
  </si>
  <si>
    <t>Restored FY 2021 Salary</t>
  </si>
  <si>
    <t>FY 2022 Merit Increase Salary Basis</t>
  </si>
  <si>
    <t>FY 2022 Lump Sum Increase</t>
  </si>
  <si>
    <t>FY 2022 2.25% Merit Increase</t>
  </si>
  <si>
    <t>Total FY 2022 Rank Mean Salary</t>
  </si>
  <si>
    <t>Total FY 2022 Salary</t>
  </si>
  <si>
    <t>Total FY 2022 Min. Salary by FY 2022 Rank</t>
  </si>
  <si>
    <t>Total Computed FY 2022 Salary</t>
  </si>
  <si>
    <t>Estimated Total FY 2022 Salary</t>
  </si>
  <si>
    <t>Current Salary (FY 2021)</t>
  </si>
  <si>
    <t>Current Rank (FY 2021)</t>
  </si>
  <si>
    <t>&lt;==input your current salary here</t>
  </si>
  <si>
    <t>&lt;==click on cell and use drop down window to select current rank</t>
  </si>
  <si>
    <t xml:space="preserve">&lt;==click on cell and use drop down window to select next year rank </t>
  </si>
  <si>
    <t>FY 2021 Rank Mean Base Salary (Unadjusted)</t>
  </si>
  <si>
    <t>Salary above FY 2021 Rank Mean?</t>
  </si>
  <si>
    <t>&lt;== note: new hires use can enter their FY 2021 salary here</t>
  </si>
  <si>
    <t>FY 2021 Restoration Payment</t>
  </si>
  <si>
    <t>FY 2021 Rank</t>
  </si>
  <si>
    <t>FY 2021 Lump Sum Increase</t>
  </si>
  <si>
    <t>FY 2021 Base Salary</t>
  </si>
  <si>
    <t>Supplemental 0.66% Increase</t>
  </si>
  <si>
    <t>Merit 2.25% Increase</t>
  </si>
  <si>
    <t>Total FY 2021 Restored Salary</t>
  </si>
  <si>
    <t>FY 2021 Total Salary</t>
  </si>
  <si>
    <t>FY 2022 $150 Lump Sum Increase</t>
  </si>
  <si>
    <t>Supplemental 1.75% Increase</t>
  </si>
  <si>
    <t>FY 2022 Base Salary</t>
  </si>
  <si>
    <t>Promotional Lump Sum Increase</t>
  </si>
  <si>
    <t>Minimum Salary by FY 2022 Rank</t>
  </si>
  <si>
    <t>FY 2022 Salary with Supplemental</t>
  </si>
  <si>
    <t>Lump Sum Promotional Increase</t>
  </si>
  <si>
    <t>FY 2021 Rank Mean Total Salary</t>
  </si>
  <si>
    <t>FY 2021 Merit Increase Salary Basis</t>
  </si>
  <si>
    <t>FY 2021 Salary with Supplemental</t>
  </si>
  <si>
    <t>FY 2022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</si>
</sst>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3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i/>
      <sz val="11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15" xfId="0" applyFont="1" applyBorder="1"/>
    <xf numFmtId="0" fontId="3" fillId="3" borderId="16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4" borderId="1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2" fillId="0" borderId="18" xfId="0" applyFont="1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3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0" xfId="0" applyFont="1" applyFill="1" applyBorder="1"/>
    <xf numFmtId="0" fontId="1" fillId="0" borderId="20" xfId="0" applyFont="1" applyBorder="1" applyAlignment="1">
      <alignment horizontal="left"/>
    </xf>
    <xf numFmtId="0" fontId="1" fillId="0" borderId="22" xfId="0" applyFont="1" applyBorder="1"/>
    <xf numFmtId="0" fontId="12" fillId="0" borderId="20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165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5" fillId="0" borderId="0" xfId="0" applyFont="1" applyAlignment="1">
      <alignment horizontal="left"/>
    </xf>
    <xf numFmtId="0" fontId="6" fillId="6" borderId="20" xfId="0" applyFont="1" applyFill="1" applyBorder="1" applyAlignment="1">
      <alignment horizontal="left"/>
    </xf>
    <xf numFmtId="0" fontId="7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6" fillId="6" borderId="21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0" xfId="0" applyFont="1" applyFill="1"/>
    <xf numFmtId="0" fontId="6" fillId="6" borderId="24" xfId="0" applyFont="1" applyFill="1" applyBorder="1" applyAlignment="1">
      <alignment horizontal="left"/>
    </xf>
    <xf numFmtId="0" fontId="6" fillId="6" borderId="20" xfId="0" applyFont="1" applyFill="1" applyBorder="1"/>
    <xf numFmtId="0" fontId="10" fillId="6" borderId="20" xfId="0" applyFont="1" applyFill="1" applyBorder="1" applyAlignment="1">
      <alignment horizontal="left"/>
    </xf>
    <xf numFmtId="165" fontId="13" fillId="6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0" fontId="12" fillId="6" borderId="20" xfId="0" applyFont="1" applyFill="1" applyBorder="1" applyAlignment="1">
      <alignment horizontal="left"/>
    </xf>
    <xf numFmtId="0" fontId="12" fillId="6" borderId="24" xfId="0" applyFont="1" applyFill="1" applyBorder="1" applyAlignment="1">
      <alignment horizontal="left"/>
    </xf>
    <xf numFmtId="165" fontId="14" fillId="6" borderId="0" xfId="0" applyNumberFormat="1" applyFont="1" applyFill="1" applyAlignment="1">
      <alignment horizontal="center"/>
    </xf>
    <xf numFmtId="164" fontId="14" fillId="6" borderId="0" xfId="0" applyNumberFormat="1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0" xfId="0" applyFont="1" applyFill="1"/>
    <xf numFmtId="0" fontId="10" fillId="6" borderId="24" xfId="0" applyFont="1" applyFill="1" applyBorder="1" applyAlignment="1">
      <alignment horizontal="left"/>
    </xf>
    <xf numFmtId="0" fontId="11" fillId="6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2" fillId="6" borderId="0" xfId="0" applyFont="1" applyFill="1"/>
    <xf numFmtId="0" fontId="9" fillId="6" borderId="0" xfId="0" applyFont="1" applyFill="1" applyAlignment="1"/>
    <xf numFmtId="165" fontId="8" fillId="0" borderId="0" xfId="0" applyNumberFormat="1" applyFont="1" applyAlignment="1">
      <alignment horizontal="center"/>
    </xf>
    <xf numFmtId="165" fontId="8" fillId="6" borderId="0" xfId="0" applyNumberFormat="1" applyFont="1" applyFill="1" applyAlignment="1">
      <alignment horizontal="center"/>
    </xf>
    <xf numFmtId="0" fontId="0" fillId="0" borderId="22" xfId="0" applyBorder="1"/>
    <xf numFmtId="164" fontId="0" fillId="0" borderId="26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1" fillId="5" borderId="23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164" fontId="10" fillId="6" borderId="21" xfId="0" applyNumberFormat="1" applyFont="1" applyFill="1" applyBorder="1" applyAlignment="1">
      <alignment horizontal="center"/>
    </xf>
    <xf numFmtId="164" fontId="10" fillId="6" borderId="25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1" fillId="4" borderId="21" xfId="0" applyNumberFormat="1" applyFont="1" applyFill="1" applyBorder="1" applyAlignment="1">
      <alignment horizontal="center"/>
    </xf>
    <xf numFmtId="164" fontId="12" fillId="0" borderId="21" xfId="0" applyNumberFormat="1" applyFont="1" applyFill="1" applyBorder="1" applyAlignment="1">
      <alignment horizontal="center"/>
    </xf>
    <xf numFmtId="164" fontId="12" fillId="6" borderId="25" xfId="0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4" fontId="1" fillId="4" borderId="23" xfId="0" applyNumberFormat="1" applyFont="1" applyFill="1" applyBorder="1" applyAlignment="1">
      <alignment horizontal="center"/>
    </xf>
    <xf numFmtId="0" fontId="1" fillId="6" borderId="27" xfId="0" applyFont="1" applyFill="1" applyBorder="1" applyAlignment="1">
      <alignment wrapText="1"/>
    </xf>
    <xf numFmtId="0" fontId="1" fillId="6" borderId="27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wrapText="1"/>
    </xf>
    <xf numFmtId="0" fontId="1" fillId="6" borderId="29" xfId="0" applyFont="1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AEE0-E17E-4CF1-AD7F-64C29ACEA54F}">
  <dimension ref="A1:T32"/>
  <sheetViews>
    <sheetView tabSelected="1" zoomScaleNormal="100" workbookViewId="0">
      <selection activeCell="A38" sqref="A38"/>
    </sheetView>
  </sheetViews>
  <sheetFormatPr defaultRowHeight="14.6" x14ac:dyDescent="0.4"/>
  <cols>
    <col min="1" max="1" width="50.53515625" customWidth="1"/>
    <col min="2" max="2" width="15.53515625" style="2" customWidth="1"/>
    <col min="3" max="3" width="15.15234375" style="32" customWidth="1"/>
    <col min="4" max="4" width="15.15234375" style="2" bestFit="1" customWidth="1"/>
    <col min="5" max="5" width="15.84375" style="2" bestFit="1" customWidth="1"/>
    <col min="6" max="6" width="14.53515625" style="2" bestFit="1" customWidth="1"/>
    <col min="7" max="7" width="15.3828125" style="2" customWidth="1"/>
    <col min="8" max="8" width="19.15234375" style="2" bestFit="1" customWidth="1"/>
    <col min="9" max="9" width="17.15234375" customWidth="1"/>
    <col min="10" max="10" width="24.15234375" style="2" customWidth="1"/>
    <col min="11" max="11" width="15.84375" style="2" bestFit="1" customWidth="1"/>
    <col min="12" max="12" width="13.69140625" style="2" customWidth="1"/>
    <col min="13" max="13" width="17.69140625" style="2" bestFit="1" customWidth="1"/>
    <col min="14" max="14" width="10.69140625" style="2" customWidth="1"/>
    <col min="15" max="15" width="19.53515625" style="2" bestFit="1" customWidth="1"/>
    <col min="16" max="16" width="18.84375" customWidth="1"/>
    <col min="17" max="17" width="12.3046875" style="2" customWidth="1"/>
    <col min="18" max="18" width="15.84375" style="2" bestFit="1" customWidth="1"/>
    <col min="19" max="19" width="10.69140625" style="2" bestFit="1" customWidth="1"/>
    <col min="20" max="20" width="15.53515625" style="2" bestFit="1" customWidth="1"/>
  </cols>
  <sheetData>
    <row r="1" spans="1:20" ht="15" thickBot="1" x14ac:dyDescent="0.45">
      <c r="A1" s="27" t="s">
        <v>38</v>
      </c>
      <c r="B1" s="28" t="s">
        <v>39</v>
      </c>
      <c r="C1" s="31" t="s">
        <v>40</v>
      </c>
    </row>
    <row r="2" spans="1:20" ht="15" thickBot="1" x14ac:dyDescent="0.45"/>
    <row r="3" spans="1:20" x14ac:dyDescent="0.4">
      <c r="A3" s="34" t="s">
        <v>42</v>
      </c>
      <c r="B3" s="35"/>
    </row>
    <row r="4" spans="1:20" x14ac:dyDescent="0.4">
      <c r="A4" s="36" t="s">
        <v>55</v>
      </c>
      <c r="B4" s="84">
        <v>126581</v>
      </c>
      <c r="C4" s="49" t="s">
        <v>57</v>
      </c>
    </row>
    <row r="5" spans="1:20" x14ac:dyDescent="0.4">
      <c r="A5" s="36" t="s">
        <v>56</v>
      </c>
      <c r="B5" s="37" t="s">
        <v>3</v>
      </c>
      <c r="C5" s="49" t="s">
        <v>58</v>
      </c>
    </row>
    <row r="6" spans="1:20" x14ac:dyDescent="0.4">
      <c r="A6" s="36" t="s">
        <v>44</v>
      </c>
      <c r="B6" s="37" t="s">
        <v>3</v>
      </c>
      <c r="C6" s="49" t="s">
        <v>59</v>
      </c>
    </row>
    <row r="7" spans="1:20" x14ac:dyDescent="0.4">
      <c r="A7" s="36"/>
      <c r="B7" s="38"/>
    </row>
    <row r="8" spans="1:20" s="53" customFormat="1" hidden="1" x14ac:dyDescent="0.4">
      <c r="A8" s="50" t="s">
        <v>60</v>
      </c>
      <c r="B8" s="85">
        <f>VLOOKUP(B5,Data!A21:H24,2,FALSE)</f>
        <v>136216</v>
      </c>
      <c r="C8" s="51"/>
      <c r="J8" s="52"/>
      <c r="K8" s="52"/>
      <c r="L8" s="52"/>
      <c r="M8" s="52"/>
      <c r="N8" s="52"/>
      <c r="O8" s="52"/>
      <c r="Q8" s="52"/>
      <c r="R8" s="52"/>
      <c r="S8" s="52"/>
      <c r="T8" s="52"/>
    </row>
    <row r="9" spans="1:20" s="57" customFormat="1" hidden="1" x14ac:dyDescent="0.4">
      <c r="A9" s="50" t="s">
        <v>61</v>
      </c>
      <c r="B9" s="54" t="str">
        <f>IF(B4&gt;VLOOKUP(B5,Data!A21:B24,2,FALSE),"Yes","No")</f>
        <v>No</v>
      </c>
      <c r="C9" s="55"/>
      <c r="D9" s="56"/>
      <c r="E9" s="56"/>
      <c r="F9" s="56"/>
      <c r="G9" s="56"/>
      <c r="H9" s="56"/>
      <c r="J9" s="56"/>
      <c r="K9" s="56"/>
      <c r="L9" s="56"/>
      <c r="M9" s="56"/>
      <c r="N9" s="56"/>
      <c r="O9" s="56"/>
      <c r="Q9" s="56"/>
      <c r="R9" s="56"/>
      <c r="S9" s="56"/>
      <c r="T9" s="56"/>
    </row>
    <row r="10" spans="1:20" s="57" customFormat="1" hidden="1" x14ac:dyDescent="0.4">
      <c r="A10" s="59" t="s">
        <v>45</v>
      </c>
      <c r="B10" s="54" t="str">
        <f>IF(B5=B6,"No","Yes")</f>
        <v>No</v>
      </c>
      <c r="C10" s="55"/>
      <c r="D10" s="56"/>
      <c r="E10" s="56"/>
      <c r="F10" s="56"/>
      <c r="G10" s="56"/>
      <c r="H10" s="56"/>
      <c r="J10" s="56"/>
      <c r="K10" s="56"/>
      <c r="L10" s="56"/>
      <c r="M10" s="56"/>
      <c r="N10" s="56"/>
      <c r="O10" s="56"/>
      <c r="Q10" s="56"/>
      <c r="R10" s="56"/>
      <c r="S10" s="56"/>
      <c r="T10" s="56"/>
    </row>
    <row r="11" spans="1:20" s="57" customFormat="1" hidden="1" x14ac:dyDescent="0.4">
      <c r="A11" s="50" t="s">
        <v>78</v>
      </c>
      <c r="B11" s="85">
        <f>VLOOKUP(B5,Data!A21:H24,6,FALSE)</f>
        <v>137115.02559999999</v>
      </c>
      <c r="C11" s="55"/>
      <c r="E11" s="71"/>
      <c r="F11" s="56"/>
      <c r="G11" s="56"/>
      <c r="H11" s="56"/>
      <c r="J11" s="56"/>
      <c r="K11" s="56"/>
      <c r="L11" s="56"/>
      <c r="M11" s="56"/>
      <c r="N11" s="56"/>
      <c r="O11" s="56"/>
      <c r="Q11" s="56"/>
      <c r="R11" s="56"/>
      <c r="S11" s="56"/>
      <c r="T11" s="56"/>
    </row>
    <row r="12" spans="1:20" s="57" customFormat="1" hidden="1" x14ac:dyDescent="0.4">
      <c r="A12" s="58" t="s">
        <v>70</v>
      </c>
      <c r="B12" s="86">
        <f>VLOOKUP(B5,A32:E32,5,FALSE)</f>
        <v>127416.43459999999</v>
      </c>
      <c r="C12" s="78"/>
      <c r="D12" s="56"/>
      <c r="E12" s="56"/>
      <c r="F12" s="56"/>
      <c r="G12" s="56"/>
      <c r="H12" s="56"/>
      <c r="J12" s="56"/>
      <c r="K12" s="56"/>
      <c r="L12" s="56"/>
      <c r="M12" s="56"/>
      <c r="N12" s="56"/>
      <c r="O12" s="56"/>
      <c r="Q12" s="56"/>
      <c r="R12" s="56"/>
      <c r="S12" s="56"/>
      <c r="T12" s="56"/>
    </row>
    <row r="13" spans="1:20" s="57" customFormat="1" hidden="1" x14ac:dyDescent="0.4">
      <c r="A13" s="50" t="s">
        <v>79</v>
      </c>
      <c r="B13" s="85">
        <f>MAX(B12,B11)</f>
        <v>137115.02559999999</v>
      </c>
      <c r="C13" s="78"/>
      <c r="D13" s="56"/>
      <c r="E13" s="56"/>
      <c r="F13" s="56"/>
      <c r="G13" s="56"/>
      <c r="H13" s="56"/>
      <c r="J13" s="56"/>
      <c r="K13" s="56"/>
      <c r="L13" s="56"/>
      <c r="M13" s="56"/>
      <c r="N13" s="56"/>
      <c r="O13" s="56"/>
      <c r="Q13" s="56"/>
      <c r="R13" s="56"/>
      <c r="S13" s="56"/>
      <c r="T13" s="56"/>
    </row>
    <row r="14" spans="1:20" s="30" customFormat="1" x14ac:dyDescent="0.4">
      <c r="A14" s="39"/>
      <c r="B14" s="87"/>
      <c r="C14" s="77"/>
      <c r="D14" s="72"/>
      <c r="E14" s="29"/>
      <c r="F14" s="29"/>
      <c r="G14" s="29"/>
      <c r="H14" s="29"/>
      <c r="J14" s="29"/>
      <c r="K14" s="29"/>
      <c r="L14" s="29"/>
      <c r="M14" s="29"/>
      <c r="N14" s="29"/>
      <c r="O14" s="29"/>
      <c r="Q14" s="29"/>
      <c r="R14" s="29"/>
      <c r="S14" s="29"/>
      <c r="T14" s="29"/>
    </row>
    <row r="15" spans="1:20" x14ac:dyDescent="0.4">
      <c r="A15" s="40" t="s">
        <v>43</v>
      </c>
      <c r="B15" s="88">
        <f>VLOOKUP($B$5,$A$31:$H$32,8,FALSE)</f>
        <v>3919.0918784999958</v>
      </c>
      <c r="C15" s="33"/>
      <c r="D15" s="6"/>
      <c r="E15"/>
    </row>
    <row r="16" spans="1:20" x14ac:dyDescent="0.4">
      <c r="A16" s="40" t="s">
        <v>46</v>
      </c>
      <c r="B16" s="88">
        <f>B15+B4</f>
        <v>130500.0918785</v>
      </c>
      <c r="C16" s="49" t="s">
        <v>62</v>
      </c>
      <c r="D16" s="6"/>
      <c r="E16"/>
    </row>
    <row r="17" spans="1:20" s="44" customFormat="1" hidden="1" x14ac:dyDescent="0.4">
      <c r="A17" s="42"/>
      <c r="B17" s="89"/>
      <c r="C17" s="73"/>
      <c r="D17" s="74"/>
      <c r="E17" s="43"/>
      <c r="F17" s="43"/>
      <c r="G17" s="43"/>
      <c r="H17" s="43"/>
      <c r="J17" s="43"/>
      <c r="K17" s="43"/>
      <c r="L17" s="43"/>
      <c r="M17" s="43"/>
      <c r="N17" s="43"/>
      <c r="O17" s="43"/>
      <c r="Q17" s="43"/>
      <c r="R17" s="43"/>
      <c r="S17" s="43"/>
      <c r="T17" s="43"/>
    </row>
    <row r="18" spans="1:20" s="63" customFormat="1" hidden="1" x14ac:dyDescent="0.4">
      <c r="A18" s="60" t="s">
        <v>48</v>
      </c>
      <c r="B18" s="85">
        <v>150</v>
      </c>
      <c r="D18" s="61"/>
      <c r="E18" s="61"/>
      <c r="F18" s="62"/>
      <c r="G18" s="62"/>
      <c r="H18" s="62"/>
      <c r="J18" s="62"/>
      <c r="K18" s="62"/>
      <c r="L18" s="62"/>
      <c r="M18" s="62"/>
      <c r="N18" s="62"/>
      <c r="O18" s="62"/>
      <c r="Q18" s="62"/>
      <c r="R18" s="62"/>
      <c r="S18" s="62"/>
      <c r="T18" s="62"/>
    </row>
    <row r="19" spans="1:20" s="63" customFormat="1" hidden="1" x14ac:dyDescent="0.4">
      <c r="A19" s="64" t="s">
        <v>51</v>
      </c>
      <c r="B19" s="85">
        <f>(B16+B18)*1.0175</f>
        <v>132936.46848637375</v>
      </c>
      <c r="C19" s="61"/>
      <c r="D19" s="61"/>
      <c r="E19" s="61"/>
      <c r="F19" s="62"/>
      <c r="G19" s="62"/>
      <c r="H19" s="62"/>
      <c r="J19" s="62"/>
      <c r="K19" s="62"/>
      <c r="L19" s="62"/>
      <c r="M19" s="62"/>
      <c r="N19" s="62"/>
      <c r="O19" s="62"/>
      <c r="Q19" s="62"/>
      <c r="R19" s="62"/>
      <c r="S19" s="62"/>
      <c r="T19" s="62"/>
    </row>
    <row r="20" spans="1:20" s="69" customFormat="1" hidden="1" x14ac:dyDescent="0.4">
      <c r="A20" s="65" t="s">
        <v>50</v>
      </c>
      <c r="B20" s="90">
        <f>VLOOKUP(B5,Data!A21:O24,13,FALSE)</f>
        <v>142806.24066532997</v>
      </c>
      <c r="C20" s="66"/>
      <c r="D20" s="61"/>
      <c r="E20" s="61"/>
      <c r="F20" s="68"/>
      <c r="G20" s="68"/>
      <c r="H20" s="68"/>
      <c r="J20" s="68"/>
      <c r="K20" s="68"/>
      <c r="L20" s="68"/>
      <c r="M20" s="68"/>
      <c r="N20" s="68"/>
      <c r="O20" s="68"/>
      <c r="Q20" s="68"/>
      <c r="R20" s="68"/>
      <c r="S20" s="68"/>
      <c r="T20" s="68"/>
    </row>
    <row r="21" spans="1:20" s="69" customFormat="1" hidden="1" x14ac:dyDescent="0.4">
      <c r="A21" s="60" t="s">
        <v>47</v>
      </c>
      <c r="B21" s="85">
        <f>MAX(B20,B19)</f>
        <v>142806.24066532997</v>
      </c>
      <c r="C21" s="66"/>
      <c r="D21" s="61"/>
      <c r="E21" s="61"/>
      <c r="F21" s="68"/>
      <c r="G21" s="68"/>
      <c r="H21" s="68"/>
      <c r="J21" s="68"/>
      <c r="K21" s="68"/>
      <c r="L21" s="68"/>
      <c r="M21" s="68"/>
      <c r="N21" s="68"/>
      <c r="O21" s="68"/>
      <c r="Q21" s="68"/>
      <c r="R21" s="68"/>
      <c r="S21" s="68"/>
      <c r="T21" s="68"/>
    </row>
    <row r="22" spans="1:20" s="69" customFormat="1" hidden="1" x14ac:dyDescent="0.4">
      <c r="A22" s="60" t="s">
        <v>49</v>
      </c>
      <c r="B22" s="85">
        <f>2.25%*B21</f>
        <v>3213.1404149699242</v>
      </c>
      <c r="C22" s="66"/>
      <c r="D22" s="61"/>
      <c r="E22" s="61"/>
      <c r="F22" s="68"/>
      <c r="G22" s="68"/>
      <c r="H22" s="68"/>
      <c r="J22" s="68"/>
      <c r="K22" s="68"/>
      <c r="L22" s="68"/>
      <c r="M22" s="68"/>
      <c r="N22" s="68"/>
      <c r="O22" s="68"/>
      <c r="Q22" s="68"/>
      <c r="R22" s="68"/>
      <c r="S22" s="68"/>
      <c r="T22" s="68"/>
    </row>
    <row r="23" spans="1:20" s="69" customFormat="1" hidden="1" x14ac:dyDescent="0.4">
      <c r="A23" s="70" t="s">
        <v>77</v>
      </c>
      <c r="B23" s="86">
        <f>AND(B9="Yes",B10="Yes")*1000</f>
        <v>0</v>
      </c>
      <c r="C23" s="66"/>
      <c r="D23" s="61"/>
      <c r="E23" s="61"/>
      <c r="F23" s="68"/>
      <c r="G23" s="68"/>
      <c r="H23" s="68"/>
      <c r="J23" s="68"/>
      <c r="K23" s="68"/>
      <c r="L23" s="68"/>
      <c r="M23" s="68"/>
      <c r="N23" s="68"/>
      <c r="O23" s="68"/>
      <c r="Q23" s="68"/>
      <c r="R23" s="68"/>
      <c r="S23" s="68"/>
      <c r="T23" s="68"/>
    </row>
    <row r="24" spans="1:20" s="69" customFormat="1" hidden="1" x14ac:dyDescent="0.4">
      <c r="A24" s="60" t="s">
        <v>53</v>
      </c>
      <c r="B24" s="85">
        <f>B19+B22+B23</f>
        <v>136149.60890134369</v>
      </c>
      <c r="C24" s="66"/>
      <c r="D24" s="61"/>
      <c r="E24" s="61"/>
      <c r="F24" s="68"/>
      <c r="G24" s="68"/>
      <c r="H24" s="68"/>
      <c r="J24" s="68"/>
      <c r="K24" s="68"/>
      <c r="L24" s="68"/>
      <c r="M24" s="68"/>
      <c r="N24" s="68"/>
      <c r="O24" s="68"/>
      <c r="Q24" s="68"/>
      <c r="R24" s="68"/>
      <c r="S24" s="68"/>
      <c r="T24" s="68"/>
    </row>
    <row r="25" spans="1:20" s="69" customFormat="1" hidden="1" x14ac:dyDescent="0.4">
      <c r="A25" s="70" t="s">
        <v>52</v>
      </c>
      <c r="B25" s="86">
        <f>VLOOKUP(B6,Data!A9:T12,15,FALSE)</f>
        <v>131972.31569716212</v>
      </c>
      <c r="C25" s="66"/>
      <c r="D25" s="67"/>
      <c r="E25" s="68"/>
      <c r="F25" s="68"/>
      <c r="G25" s="68"/>
      <c r="H25" s="68"/>
      <c r="J25" s="68"/>
      <c r="K25" s="68"/>
      <c r="L25" s="68"/>
      <c r="M25" s="68"/>
      <c r="N25" s="68"/>
      <c r="O25" s="68"/>
      <c r="Q25" s="68"/>
      <c r="R25" s="68"/>
      <c r="S25" s="68"/>
      <c r="T25" s="68"/>
    </row>
    <row r="26" spans="1:20" s="48" customFormat="1" x14ac:dyDescent="0.4">
      <c r="B26" s="91"/>
      <c r="C26" s="45"/>
      <c r="D26" s="46"/>
      <c r="E26" s="47"/>
      <c r="F26" s="47"/>
      <c r="G26" s="47"/>
      <c r="H26" s="47"/>
      <c r="J26" s="47"/>
      <c r="K26" s="47"/>
      <c r="L26" s="47"/>
      <c r="M26" s="47"/>
      <c r="N26" s="47"/>
      <c r="O26" s="47"/>
      <c r="Q26" s="47"/>
      <c r="R26" s="47"/>
      <c r="S26" s="47"/>
      <c r="T26" s="47"/>
    </row>
    <row r="27" spans="1:20" ht="15" thickBot="1" x14ac:dyDescent="0.45">
      <c r="A27" s="41" t="s">
        <v>54</v>
      </c>
      <c r="B27" s="92">
        <f>IF(B10="Yes",MAX(B24,B25),B24)</f>
        <v>136149.60890134369</v>
      </c>
      <c r="C27" s="77"/>
      <c r="E27" s="26"/>
    </row>
    <row r="28" spans="1:20" x14ac:dyDescent="0.4">
      <c r="B28" s="6"/>
      <c r="D28" s="26"/>
    </row>
    <row r="29" spans="1:20" s="53" customFormat="1" hidden="1" x14ac:dyDescent="0.4">
      <c r="A29" s="75" t="s">
        <v>41</v>
      </c>
      <c r="B29" s="76"/>
      <c r="C29" s="51"/>
      <c r="D29" s="52"/>
      <c r="E29" s="52"/>
      <c r="F29" s="52"/>
      <c r="G29" s="52"/>
      <c r="H29" s="52"/>
      <c r="J29" s="52"/>
      <c r="K29" s="52"/>
      <c r="L29" s="52"/>
      <c r="M29" s="52"/>
      <c r="N29" s="52"/>
      <c r="O29" s="52"/>
      <c r="Q29" s="52"/>
      <c r="R29" s="52"/>
      <c r="S29" s="52"/>
      <c r="T29" s="52"/>
    </row>
    <row r="30" spans="1:20" s="53" customFormat="1" ht="15" hidden="1" thickBot="1" x14ac:dyDescent="0.45">
      <c r="B30" s="52"/>
      <c r="C30" s="51"/>
      <c r="D30" s="52"/>
      <c r="E30" s="52"/>
      <c r="F30" s="52"/>
      <c r="G30" s="52"/>
      <c r="H30" s="52"/>
      <c r="J30" s="52"/>
      <c r="K30" s="52"/>
      <c r="L30" s="52"/>
      <c r="M30" s="52"/>
      <c r="N30" s="52"/>
      <c r="O30" s="52"/>
      <c r="Q30" s="52"/>
      <c r="R30" s="52"/>
      <c r="S30" s="52"/>
      <c r="T30" s="52"/>
    </row>
    <row r="31" spans="1:20" s="98" customFormat="1" ht="43.75" hidden="1" x14ac:dyDescent="0.4">
      <c r="A31" s="93" t="s">
        <v>64</v>
      </c>
      <c r="B31" s="95" t="s">
        <v>66</v>
      </c>
      <c r="C31" s="95" t="s">
        <v>65</v>
      </c>
      <c r="D31" s="95" t="s">
        <v>67</v>
      </c>
      <c r="E31" s="95" t="s">
        <v>80</v>
      </c>
      <c r="F31" s="95" t="s">
        <v>68</v>
      </c>
      <c r="G31" s="95" t="s">
        <v>69</v>
      </c>
      <c r="H31" s="96" t="s">
        <v>63</v>
      </c>
      <c r="I31" s="94" t="s">
        <v>81</v>
      </c>
      <c r="J31" s="95" t="s">
        <v>71</v>
      </c>
      <c r="K31" s="95" t="s">
        <v>73</v>
      </c>
      <c r="L31" s="95" t="s">
        <v>72</v>
      </c>
      <c r="M31" s="95" t="s">
        <v>76</v>
      </c>
      <c r="N31" s="95" t="s">
        <v>68</v>
      </c>
      <c r="O31" s="95" t="s">
        <v>74</v>
      </c>
      <c r="P31" s="95" t="s">
        <v>75</v>
      </c>
      <c r="Q31" s="96" t="s">
        <v>51</v>
      </c>
      <c r="R31" s="97"/>
      <c r="S31" s="97"/>
      <c r="T31" s="97"/>
    </row>
    <row r="32" spans="1:20" ht="15" hidden="1" thickBot="1" x14ac:dyDescent="0.45">
      <c r="A32" s="79" t="str">
        <f>B5</f>
        <v>Professor</v>
      </c>
      <c r="B32" s="80">
        <f>B4</f>
        <v>126581</v>
      </c>
      <c r="C32" s="80">
        <f>IF(B5="Associate",306,0)</f>
        <v>0</v>
      </c>
      <c r="D32" s="80">
        <f>B32*0.0066</f>
        <v>835.43460000000005</v>
      </c>
      <c r="E32" s="80">
        <f>B32+C32+D32</f>
        <v>127416.43459999999</v>
      </c>
      <c r="F32" s="80">
        <f>2.25%*(MAX(B4,B8)+C32+D32)</f>
        <v>3083.6572784999998</v>
      </c>
      <c r="G32" s="80">
        <f>B32+F32+C32+D32</f>
        <v>130500.0918785</v>
      </c>
      <c r="H32" s="81">
        <f>G32-B32</f>
        <v>3919.0918784999958</v>
      </c>
      <c r="I32" s="83" t="str">
        <f>B6</f>
        <v>Professor</v>
      </c>
      <c r="J32" s="80">
        <v>150</v>
      </c>
      <c r="K32" s="80">
        <f>J32+G32</f>
        <v>130650.0918785</v>
      </c>
      <c r="L32" s="80">
        <f>K32*0.0175</f>
        <v>2286.3766078737503</v>
      </c>
      <c r="M32" s="80">
        <f>L32+K32</f>
        <v>132936.46848637375</v>
      </c>
      <c r="N32" s="80">
        <f>MAX(M32,VLOOKUP(B6,Data!A21:M24,13,FALSE))*0.0225</f>
        <v>3213.1404149699242</v>
      </c>
      <c r="O32" s="80">
        <f>IF(AND(B9="Yes",B10="Yes"),1000,0)</f>
        <v>0</v>
      </c>
      <c r="P32" s="80">
        <f>VLOOKUP(B6,Data!A9:O12,15,FALSE)</f>
        <v>131972.31569716212</v>
      </c>
      <c r="Q32" s="82">
        <f>IF(B10="Yes",MAX(SUM(M32:O32),P32),SUM(M32:N32))</f>
        <v>136149.60890134369</v>
      </c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Current Rank" prompt="Please select your rank from the drop-down list below" xr:uid="{1AB7B77D-E714-4074-AEA2-8C29B1E0760A}">
          <x14:formula1>
            <xm:f>Data!$A$21:$A$24</xm:f>
          </x14:formula1>
          <xm:sqref>B5</xm:sqref>
        </x14:dataValidation>
        <x14:dataValidation type="list" allowBlank="1" showInputMessage="1" showErrorMessage="1" promptTitle="FY 2022 Rank" prompt="Please select your rank from the drop-down list below" xr:uid="{01940FD7-1C6F-4ACF-BFCD-56CA7AF719E5}">
          <x14:formula1>
            <xm:f>Data!$A$21:$A$24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17331-EF3F-4ABA-B843-B40EC1615FC3}">
  <dimension ref="A3:X40"/>
  <sheetViews>
    <sheetView workbookViewId="0">
      <selection activeCell="A21" sqref="A21:A24"/>
    </sheetView>
  </sheetViews>
  <sheetFormatPr defaultRowHeight="14.6" x14ac:dyDescent="0.4"/>
  <cols>
    <col min="2" max="2" width="11.3828125" style="2" bestFit="1" customWidth="1"/>
    <col min="4" max="4" width="9" style="2" bestFit="1" customWidth="1"/>
    <col min="5" max="5" width="14" style="2" customWidth="1"/>
    <col min="6" max="6" width="16.15234375" style="2" bestFit="1" customWidth="1"/>
    <col min="7" max="7" width="9.3828125" style="2" bestFit="1" customWidth="1"/>
    <col min="8" max="8" width="15.53515625" style="2" bestFit="1" customWidth="1"/>
    <col min="10" max="11" width="13.53515625" style="2" bestFit="1" customWidth="1"/>
    <col min="12" max="12" width="9.3046875" style="2"/>
    <col min="13" max="13" width="14.53515625" style="2" bestFit="1" customWidth="1"/>
    <col min="14" max="14" width="10.69140625" style="2" customWidth="1"/>
    <col min="15" max="15" width="16" style="2" bestFit="1" customWidth="1"/>
    <col min="17" max="17" width="15.69140625" style="2" bestFit="1" customWidth="1"/>
    <col min="18" max="18" width="12.69140625" style="2" bestFit="1" customWidth="1"/>
    <col min="19" max="19" width="9.53515625" style="2" bestFit="1" customWidth="1"/>
    <col min="20" max="20" width="13.15234375" style="2" bestFit="1" customWidth="1"/>
  </cols>
  <sheetData>
    <row r="3" spans="1:24" x14ac:dyDescent="0.4">
      <c r="A3" t="s">
        <v>11</v>
      </c>
    </row>
    <row r="6" spans="1:24" x14ac:dyDescent="0.4">
      <c r="B6" s="7" t="s">
        <v>19</v>
      </c>
      <c r="D6" s="99" t="s">
        <v>20</v>
      </c>
      <c r="E6" s="100"/>
      <c r="F6" s="100"/>
      <c r="G6" s="100"/>
      <c r="H6" s="101"/>
      <c r="J6" s="99" t="s">
        <v>18</v>
      </c>
      <c r="K6" s="100"/>
      <c r="L6" s="100"/>
      <c r="M6" s="100"/>
      <c r="N6" s="100"/>
      <c r="O6" s="101"/>
      <c r="Q6" s="99" t="s">
        <v>35</v>
      </c>
      <c r="R6" s="100"/>
      <c r="S6" s="100"/>
      <c r="T6" s="101"/>
    </row>
    <row r="7" spans="1:24" x14ac:dyDescent="0.4">
      <c r="B7" s="8" t="s">
        <v>27</v>
      </c>
      <c r="D7" s="9" t="s">
        <v>12</v>
      </c>
      <c r="E7" s="7" t="s">
        <v>16</v>
      </c>
      <c r="F7" s="10" t="s">
        <v>14</v>
      </c>
      <c r="G7" s="7" t="s">
        <v>5</v>
      </c>
      <c r="H7" s="11" t="s">
        <v>6</v>
      </c>
      <c r="J7" s="9" t="s">
        <v>21</v>
      </c>
      <c r="K7" s="7" t="s">
        <v>23</v>
      </c>
      <c r="L7" s="10" t="s">
        <v>12</v>
      </c>
      <c r="M7" s="7" t="s">
        <v>23</v>
      </c>
      <c r="N7" s="10" t="s">
        <v>33</v>
      </c>
      <c r="O7" s="7" t="s">
        <v>25</v>
      </c>
      <c r="Q7" s="9" t="s">
        <v>12</v>
      </c>
      <c r="R7" s="7" t="s">
        <v>14</v>
      </c>
      <c r="S7" s="10" t="s">
        <v>33</v>
      </c>
      <c r="T7" s="7" t="s">
        <v>9</v>
      </c>
    </row>
    <row r="8" spans="1:24" x14ac:dyDescent="0.4">
      <c r="B8" s="8" t="s">
        <v>28</v>
      </c>
      <c r="D8" s="16" t="s">
        <v>4</v>
      </c>
      <c r="E8" s="19" t="s">
        <v>13</v>
      </c>
      <c r="F8" s="17" t="s">
        <v>15</v>
      </c>
      <c r="G8" s="19" t="s">
        <v>34</v>
      </c>
      <c r="H8" s="18" t="s">
        <v>17</v>
      </c>
      <c r="J8" s="16" t="s">
        <v>22</v>
      </c>
      <c r="K8" s="19" t="s">
        <v>8</v>
      </c>
      <c r="L8" s="20">
        <v>1.7500000000000002E-2</v>
      </c>
      <c r="M8" s="19" t="s">
        <v>24</v>
      </c>
      <c r="N8" s="20">
        <v>2.2499999999999999E-2</v>
      </c>
      <c r="O8" s="19" t="s">
        <v>7</v>
      </c>
      <c r="Q8" s="21">
        <v>1.7500000000000002E-2</v>
      </c>
      <c r="R8" s="19" t="s">
        <v>26</v>
      </c>
      <c r="S8" s="20">
        <v>2.2499999999999999E-2</v>
      </c>
      <c r="T8" s="19" t="s">
        <v>10</v>
      </c>
    </row>
    <row r="9" spans="1:24" x14ac:dyDescent="0.4">
      <c r="A9" t="s">
        <v>0</v>
      </c>
      <c r="B9" s="3">
        <v>63945</v>
      </c>
      <c r="C9" s="1"/>
      <c r="D9" s="12">
        <v>0</v>
      </c>
      <c r="E9" s="4">
        <f>B9*0.0066</f>
        <v>422.03699999999998</v>
      </c>
      <c r="F9" s="13">
        <f>B9+D9+E9</f>
        <v>64367.036999999997</v>
      </c>
      <c r="G9" s="4">
        <f>F9*0.0225</f>
        <v>1448.2583324999998</v>
      </c>
      <c r="H9" s="22">
        <f>F9+G9</f>
        <v>65815.295332499998</v>
      </c>
      <c r="I9" s="1"/>
      <c r="J9" s="12">
        <v>150</v>
      </c>
      <c r="K9" s="4">
        <f>H9+J9</f>
        <v>65965.295332499998</v>
      </c>
      <c r="L9" s="13">
        <f>K9*0.0175</f>
        <v>1154.3926683187501</v>
      </c>
      <c r="M9" s="4">
        <f>K9+L9</f>
        <v>67119.688000818744</v>
      </c>
      <c r="N9" s="13">
        <f>0.0225*M9</f>
        <v>1510.1929800184216</v>
      </c>
      <c r="O9" s="24">
        <f>M9+N9</f>
        <v>68629.880980837159</v>
      </c>
      <c r="P9" s="1"/>
      <c r="Q9" s="12">
        <f>O9*0.0175</f>
        <v>1201.0229171646504</v>
      </c>
      <c r="R9" s="4">
        <f>O9+Q9</f>
        <v>69830.903898001809</v>
      </c>
      <c r="S9" s="13">
        <f>R9*0.0225</f>
        <v>1571.1953377050406</v>
      </c>
      <c r="T9" s="4">
        <f>R9+S9</f>
        <v>71402.099235706846</v>
      </c>
      <c r="U9" s="1"/>
      <c r="V9" s="1"/>
      <c r="W9" s="1"/>
      <c r="X9" s="1"/>
    </row>
    <row r="10" spans="1:24" x14ac:dyDescent="0.4">
      <c r="A10" t="s">
        <v>1</v>
      </c>
      <c r="B10" s="4">
        <v>81048</v>
      </c>
      <c r="C10" s="1"/>
      <c r="D10" s="12">
        <v>0</v>
      </c>
      <c r="E10" s="4">
        <f t="shared" ref="E10:E12" si="0">B10*0.0066</f>
        <v>534.91679999999997</v>
      </c>
      <c r="F10" s="13">
        <f t="shared" ref="F10:F12" si="1">B10+D10+E10</f>
        <v>81582.916800000006</v>
      </c>
      <c r="G10" s="4">
        <f t="shared" ref="G10:G12" si="2">F10*0.0225</f>
        <v>1835.615628</v>
      </c>
      <c r="H10" s="22">
        <f t="shared" ref="H10:H12" si="3">F10+G10</f>
        <v>83418.532428000006</v>
      </c>
      <c r="I10" s="1"/>
      <c r="J10" s="12">
        <v>150</v>
      </c>
      <c r="K10" s="4">
        <f t="shared" ref="K10:K12" si="4">H10+J10</f>
        <v>83568.532428000006</v>
      </c>
      <c r="L10" s="13">
        <f t="shared" ref="L10:L12" si="5">K10*0.0175</f>
        <v>1462.4493174900003</v>
      </c>
      <c r="M10" s="4">
        <f t="shared" ref="M10:M12" si="6">K10+L10</f>
        <v>85030.981745490004</v>
      </c>
      <c r="N10" s="13">
        <f t="shared" ref="N10:N12" si="7">0.0225*M10</f>
        <v>1913.1970892735251</v>
      </c>
      <c r="O10" s="24">
        <f t="shared" ref="O10:O12" si="8">M10+N10</f>
        <v>86944.17883476353</v>
      </c>
      <c r="P10" s="1"/>
      <c r="Q10" s="12">
        <f t="shared" ref="Q10:Q12" si="9">O10*0.0175</f>
        <v>1521.5231296083618</v>
      </c>
      <c r="R10" s="4">
        <f t="shared" ref="R10:R12" si="10">O10+Q10</f>
        <v>88465.701964371896</v>
      </c>
      <c r="S10" s="13">
        <f t="shared" ref="S10:S12" si="11">R10*0.0225</f>
        <v>1990.4782941983676</v>
      </c>
      <c r="T10" s="4">
        <f t="shared" ref="T10:T12" si="12">R10+S10</f>
        <v>90456.180258570268</v>
      </c>
      <c r="U10" s="1"/>
      <c r="V10" s="1"/>
      <c r="W10" s="1"/>
      <c r="X10" s="1"/>
    </row>
    <row r="11" spans="1:24" x14ac:dyDescent="0.4">
      <c r="A11" t="s">
        <v>2</v>
      </c>
      <c r="B11" s="4">
        <v>90799</v>
      </c>
      <c r="C11" s="1"/>
      <c r="D11" s="12">
        <v>306</v>
      </c>
      <c r="E11" s="4">
        <f t="shared" si="0"/>
        <v>599.27340000000004</v>
      </c>
      <c r="F11" s="13">
        <f t="shared" si="1"/>
        <v>91704.273400000005</v>
      </c>
      <c r="G11" s="4">
        <f t="shared" si="2"/>
        <v>2063.3461514999999</v>
      </c>
      <c r="H11" s="22">
        <f t="shared" si="3"/>
        <v>93767.6195515</v>
      </c>
      <c r="I11" s="1"/>
      <c r="J11" s="12">
        <v>150</v>
      </c>
      <c r="K11" s="4">
        <f t="shared" si="4"/>
        <v>93917.6195515</v>
      </c>
      <c r="L11" s="13">
        <f t="shared" si="5"/>
        <v>1643.5583421512501</v>
      </c>
      <c r="M11" s="4">
        <f t="shared" si="6"/>
        <v>95561.177893651256</v>
      </c>
      <c r="N11" s="13">
        <f t="shared" si="7"/>
        <v>2150.1265026071533</v>
      </c>
      <c r="O11" s="24">
        <f t="shared" si="8"/>
        <v>97711.304396258405</v>
      </c>
      <c r="P11" s="1"/>
      <c r="Q11" s="12">
        <f t="shared" si="9"/>
        <v>1709.9478269345223</v>
      </c>
      <c r="R11" s="4">
        <f t="shared" si="10"/>
        <v>99421.252223192932</v>
      </c>
      <c r="S11" s="13">
        <f t="shared" si="11"/>
        <v>2236.9781750218408</v>
      </c>
      <c r="T11" s="4">
        <f t="shared" si="12"/>
        <v>101658.23039821477</v>
      </c>
      <c r="U11" s="1"/>
      <c r="V11" s="1"/>
      <c r="W11" s="1"/>
      <c r="X11" s="1"/>
    </row>
    <row r="12" spans="1:24" x14ac:dyDescent="0.4">
      <c r="A12" t="s">
        <v>3</v>
      </c>
      <c r="B12" s="5">
        <v>123098</v>
      </c>
      <c r="C12" s="1"/>
      <c r="D12" s="14">
        <v>0</v>
      </c>
      <c r="E12" s="5">
        <f t="shared" si="0"/>
        <v>812.44679999999994</v>
      </c>
      <c r="F12" s="15">
        <f t="shared" si="1"/>
        <v>123910.44680000001</v>
      </c>
      <c r="G12" s="5">
        <f t="shared" si="2"/>
        <v>2787.9850529999999</v>
      </c>
      <c r="H12" s="23">
        <f t="shared" si="3"/>
        <v>126698.431853</v>
      </c>
      <c r="I12" s="1"/>
      <c r="J12" s="14">
        <v>150</v>
      </c>
      <c r="K12" s="5">
        <f t="shared" si="4"/>
        <v>126848.431853</v>
      </c>
      <c r="L12" s="15">
        <f t="shared" si="5"/>
        <v>2219.8475574275003</v>
      </c>
      <c r="M12" s="5">
        <f t="shared" si="6"/>
        <v>129068.27941042751</v>
      </c>
      <c r="N12" s="15">
        <f t="shared" si="7"/>
        <v>2904.0362867346189</v>
      </c>
      <c r="O12" s="25">
        <f t="shared" si="8"/>
        <v>131972.31569716212</v>
      </c>
      <c r="P12" s="1"/>
      <c r="Q12" s="14">
        <f t="shared" si="9"/>
        <v>2309.5155247003372</v>
      </c>
      <c r="R12" s="5">
        <f t="shared" si="10"/>
        <v>134281.83122186246</v>
      </c>
      <c r="S12" s="15">
        <f t="shared" si="11"/>
        <v>3021.3412024919053</v>
      </c>
      <c r="T12" s="5">
        <f t="shared" si="12"/>
        <v>137303.17242435436</v>
      </c>
      <c r="U12" s="1"/>
      <c r="V12" s="1"/>
      <c r="W12" s="1"/>
      <c r="X12" s="1"/>
    </row>
    <row r="13" spans="1:24" x14ac:dyDescent="0.4">
      <c r="B13" s="6"/>
      <c r="C13" s="1"/>
      <c r="D13" s="6"/>
      <c r="E13" s="6"/>
      <c r="F13" s="6"/>
      <c r="G13" s="6"/>
      <c r="H13" s="6"/>
      <c r="I13" s="1"/>
      <c r="J13" s="6"/>
      <c r="K13" s="6"/>
      <c r="L13" s="6"/>
      <c r="M13" s="6"/>
      <c r="N13" s="6"/>
      <c r="O13" s="6"/>
      <c r="P13" s="1"/>
      <c r="Q13" s="6"/>
      <c r="R13" s="6"/>
      <c r="S13" s="6"/>
      <c r="T13" s="6"/>
      <c r="U13" s="1"/>
      <c r="V13" s="1"/>
      <c r="W13" s="1"/>
      <c r="X13" s="1"/>
    </row>
    <row r="14" spans="1:24" x14ac:dyDescent="0.4">
      <c r="B14" s="6"/>
      <c r="C14" s="1"/>
      <c r="D14" s="6"/>
      <c r="E14" s="6"/>
      <c r="F14" s="6"/>
      <c r="G14" s="6"/>
      <c r="H14" s="6"/>
      <c r="I14" s="1"/>
      <c r="J14" s="6"/>
      <c r="K14" s="6"/>
      <c r="L14" s="6"/>
      <c r="M14" s="6"/>
      <c r="N14" s="6"/>
      <c r="O14" s="6"/>
      <c r="P14" s="1"/>
      <c r="Q14" s="6"/>
      <c r="R14" s="6"/>
      <c r="S14" s="6"/>
      <c r="T14" s="6"/>
      <c r="U14" s="1"/>
      <c r="V14" s="1"/>
      <c r="W14" s="1"/>
      <c r="X14" s="1"/>
    </row>
    <row r="15" spans="1:24" x14ac:dyDescent="0.4">
      <c r="B15" s="6"/>
      <c r="C15" s="1"/>
      <c r="D15" s="6"/>
      <c r="E15" s="6"/>
      <c r="F15" s="6"/>
      <c r="G15" s="6"/>
      <c r="H15" s="6"/>
      <c r="I15" s="1"/>
      <c r="J15" s="6"/>
      <c r="K15" s="6"/>
      <c r="L15" s="6"/>
      <c r="M15" s="6"/>
      <c r="N15" s="6"/>
      <c r="O15" s="6"/>
      <c r="P15" s="1"/>
      <c r="Q15" s="6"/>
      <c r="R15" s="6"/>
      <c r="S15" s="6"/>
      <c r="T15" s="6"/>
      <c r="U15" s="1"/>
      <c r="V15" s="1"/>
      <c r="W15" s="1"/>
      <c r="X15" s="1"/>
    </row>
    <row r="16" spans="1:24" x14ac:dyDescent="0.4">
      <c r="B16" s="6"/>
      <c r="C16" s="1"/>
      <c r="D16" s="6"/>
      <c r="E16" s="6"/>
      <c r="F16" s="6"/>
      <c r="G16" s="6"/>
      <c r="H16" s="6"/>
      <c r="I16" s="1"/>
      <c r="J16" s="6"/>
      <c r="K16" s="6"/>
      <c r="L16" s="6"/>
      <c r="M16" s="6"/>
      <c r="N16" s="6"/>
      <c r="O16" s="6"/>
      <c r="P16" s="1"/>
      <c r="Q16" s="6"/>
      <c r="R16" s="6"/>
      <c r="S16" s="6"/>
      <c r="T16" s="6"/>
      <c r="U16" s="1"/>
      <c r="V16" s="1"/>
      <c r="W16" s="1"/>
      <c r="X16" s="1"/>
    </row>
    <row r="17" spans="1:24" x14ac:dyDescent="0.4">
      <c r="A17" t="s">
        <v>30</v>
      </c>
      <c r="P17" s="1"/>
      <c r="Q17" s="6"/>
      <c r="R17" s="6"/>
      <c r="S17" s="6"/>
      <c r="T17" s="6"/>
      <c r="U17" s="1"/>
      <c r="V17" s="1"/>
      <c r="W17" s="1"/>
      <c r="X17" s="1"/>
    </row>
    <row r="18" spans="1:24" x14ac:dyDescent="0.4">
      <c r="B18" s="7" t="s">
        <v>19</v>
      </c>
      <c r="D18" s="99" t="s">
        <v>31</v>
      </c>
      <c r="E18" s="100"/>
      <c r="F18" s="100"/>
      <c r="G18" s="100"/>
      <c r="H18" s="101"/>
      <c r="J18" s="99" t="s">
        <v>32</v>
      </c>
      <c r="K18" s="100"/>
      <c r="L18" s="100"/>
      <c r="M18" s="100"/>
      <c r="N18" s="100"/>
      <c r="O18" s="101"/>
      <c r="P18" s="1"/>
      <c r="Q18" s="6"/>
      <c r="R18" s="6"/>
      <c r="S18" s="6"/>
      <c r="T18" s="6"/>
      <c r="U18" s="1"/>
      <c r="V18" s="1"/>
      <c r="W18" s="1"/>
      <c r="X18" s="1"/>
    </row>
    <row r="19" spans="1:24" x14ac:dyDescent="0.4">
      <c r="B19" s="8" t="s">
        <v>27</v>
      </c>
      <c r="D19" s="9" t="s">
        <v>12</v>
      </c>
      <c r="E19" s="7" t="s">
        <v>16</v>
      </c>
      <c r="F19" s="10" t="s">
        <v>14</v>
      </c>
      <c r="G19" s="7" t="s">
        <v>5</v>
      </c>
      <c r="H19" s="11" t="s">
        <v>36</v>
      </c>
      <c r="J19" s="9" t="s">
        <v>21</v>
      </c>
      <c r="K19" s="7" t="s">
        <v>23</v>
      </c>
      <c r="L19" s="10" t="s">
        <v>12</v>
      </c>
      <c r="M19" s="7" t="s">
        <v>23</v>
      </c>
      <c r="N19" s="10" t="s">
        <v>33</v>
      </c>
      <c r="O19" s="7" t="s">
        <v>37</v>
      </c>
      <c r="P19" s="1"/>
      <c r="Q19" s="6"/>
      <c r="R19" s="6"/>
      <c r="S19" s="6"/>
      <c r="T19" s="6"/>
      <c r="U19" s="1"/>
      <c r="V19" s="1"/>
      <c r="W19" s="1"/>
      <c r="X19" s="1"/>
    </row>
    <row r="20" spans="1:24" x14ac:dyDescent="0.4">
      <c r="B20" s="8" t="s">
        <v>29</v>
      </c>
      <c r="D20" s="16" t="s">
        <v>4</v>
      </c>
      <c r="E20" s="19" t="s">
        <v>13</v>
      </c>
      <c r="F20" s="17" t="s">
        <v>15</v>
      </c>
      <c r="G20" s="19" t="s">
        <v>34</v>
      </c>
      <c r="H20" s="18" t="s">
        <v>17</v>
      </c>
      <c r="J20" s="16" t="s">
        <v>22</v>
      </c>
      <c r="K20" s="19" t="s">
        <v>8</v>
      </c>
      <c r="L20" s="20">
        <v>1.7500000000000002E-2</v>
      </c>
      <c r="M20" s="19" t="s">
        <v>24</v>
      </c>
      <c r="N20" s="20">
        <v>2.2499999999999999E-2</v>
      </c>
      <c r="O20" s="19" t="s">
        <v>7</v>
      </c>
      <c r="P20" s="1"/>
      <c r="Q20" s="6"/>
      <c r="R20" s="6"/>
      <c r="S20" s="6"/>
      <c r="T20" s="6"/>
      <c r="U20" s="1"/>
      <c r="V20" s="1"/>
      <c r="W20" s="1"/>
      <c r="X20" s="1"/>
    </row>
    <row r="21" spans="1:24" x14ac:dyDescent="0.4">
      <c r="A21" t="s">
        <v>0</v>
      </c>
      <c r="B21" s="3">
        <v>74208</v>
      </c>
      <c r="C21" s="1"/>
      <c r="D21" s="12">
        <v>0</v>
      </c>
      <c r="E21" s="4">
        <f>B21*0.0066</f>
        <v>489.77280000000002</v>
      </c>
      <c r="F21" s="13">
        <f>B21+D21+E21</f>
        <v>74697.772800000006</v>
      </c>
      <c r="G21" s="4">
        <f>F21*0.0225</f>
        <v>1680.6998880000001</v>
      </c>
      <c r="H21" s="22">
        <f>F21+G21</f>
        <v>76378.472688000009</v>
      </c>
      <c r="I21" s="1"/>
      <c r="J21" s="12">
        <v>150</v>
      </c>
      <c r="K21" s="4">
        <f>H21+J21</f>
        <v>76528.472688000009</v>
      </c>
      <c r="L21" s="13">
        <f>K21*0.0175</f>
        <v>1339.2482720400003</v>
      </c>
      <c r="M21" s="4">
        <f>K21+L21</f>
        <v>77867.720960040009</v>
      </c>
      <c r="N21" s="13">
        <f>0.0225*M21</f>
        <v>1752.0237216009002</v>
      </c>
      <c r="O21" s="24">
        <f>M21+N21</f>
        <v>79619.744681640906</v>
      </c>
      <c r="P21" s="1"/>
      <c r="Q21" s="6"/>
      <c r="R21" s="6"/>
      <c r="S21" s="6"/>
      <c r="T21" s="6"/>
      <c r="U21" s="1"/>
      <c r="V21" s="1"/>
      <c r="W21" s="1"/>
      <c r="X21" s="1"/>
    </row>
    <row r="22" spans="1:24" x14ac:dyDescent="0.4">
      <c r="A22" t="s">
        <v>1</v>
      </c>
      <c r="B22" s="4">
        <v>90150</v>
      </c>
      <c r="C22" s="1"/>
      <c r="D22" s="12">
        <v>0</v>
      </c>
      <c r="E22" s="4">
        <f t="shared" ref="E22:E24" si="13">B22*0.0066</f>
        <v>594.99</v>
      </c>
      <c r="F22" s="13">
        <f t="shared" ref="F22:F24" si="14">B22+D22+E22</f>
        <v>90744.99</v>
      </c>
      <c r="G22" s="4">
        <f t="shared" ref="G22:G24" si="15">F22*0.0225</f>
        <v>2041.762275</v>
      </c>
      <c r="H22" s="22">
        <f t="shared" ref="H22:H24" si="16">F22+G22</f>
        <v>92786.752275000006</v>
      </c>
      <c r="I22" s="1"/>
      <c r="J22" s="12">
        <v>150</v>
      </c>
      <c r="K22" s="4">
        <f t="shared" ref="K22:K24" si="17">H22+J22</f>
        <v>92936.752275000006</v>
      </c>
      <c r="L22" s="13">
        <f t="shared" ref="L22:L24" si="18">K22*0.0175</f>
        <v>1626.3931648125003</v>
      </c>
      <c r="M22" s="4">
        <f t="shared" ref="M22:M24" si="19">K22+L22</f>
        <v>94563.145439812506</v>
      </c>
      <c r="N22" s="13">
        <f t="shared" ref="N22:N24" si="20">0.0225*M22</f>
        <v>2127.6707723957811</v>
      </c>
      <c r="O22" s="24">
        <f t="shared" ref="O22:O24" si="21">M22+N22</f>
        <v>96690.816212208287</v>
      </c>
      <c r="P22" s="1"/>
      <c r="Q22" s="6"/>
      <c r="R22" s="6"/>
      <c r="S22" s="6"/>
      <c r="T22" s="6"/>
      <c r="U22" s="1"/>
      <c r="V22" s="1"/>
      <c r="W22" s="1"/>
      <c r="X22" s="1"/>
    </row>
    <row r="23" spans="1:24" x14ac:dyDescent="0.4">
      <c r="A23" t="s">
        <v>2</v>
      </c>
      <c r="B23" s="4">
        <v>103871</v>
      </c>
      <c r="C23" s="1"/>
      <c r="D23" s="12">
        <v>306</v>
      </c>
      <c r="E23" s="4">
        <f t="shared" si="13"/>
        <v>685.54859999999996</v>
      </c>
      <c r="F23" s="13">
        <f t="shared" si="14"/>
        <v>104862.54859999999</v>
      </c>
      <c r="G23" s="4">
        <f t="shared" si="15"/>
        <v>2359.4073434999996</v>
      </c>
      <c r="H23" s="22">
        <f t="shared" si="16"/>
        <v>107221.9559435</v>
      </c>
      <c r="I23" s="1"/>
      <c r="J23" s="12">
        <v>150</v>
      </c>
      <c r="K23" s="4">
        <f t="shared" si="17"/>
        <v>107371.9559435</v>
      </c>
      <c r="L23" s="13">
        <f t="shared" si="18"/>
        <v>1879.0092290112502</v>
      </c>
      <c r="M23" s="4">
        <f t="shared" si="19"/>
        <v>109250.96517251125</v>
      </c>
      <c r="N23" s="13">
        <f t="shared" si="20"/>
        <v>2458.1467163815032</v>
      </c>
      <c r="O23" s="24">
        <f t="shared" si="21"/>
        <v>111709.11188889274</v>
      </c>
      <c r="P23" s="1"/>
      <c r="Q23" s="6"/>
      <c r="R23" s="6"/>
      <c r="S23" s="6"/>
      <c r="T23" s="6"/>
      <c r="U23" s="1"/>
      <c r="V23" s="1"/>
      <c r="W23" s="1"/>
      <c r="X23" s="1"/>
    </row>
    <row r="24" spans="1:24" x14ac:dyDescent="0.4">
      <c r="A24" t="s">
        <v>3</v>
      </c>
      <c r="B24" s="5">
        <v>136216</v>
      </c>
      <c r="C24" s="1"/>
      <c r="D24" s="14">
        <v>0</v>
      </c>
      <c r="E24" s="5">
        <f t="shared" si="13"/>
        <v>899.02559999999994</v>
      </c>
      <c r="F24" s="15">
        <f t="shared" si="14"/>
        <v>137115.02559999999</v>
      </c>
      <c r="G24" s="5">
        <f t="shared" si="15"/>
        <v>3085.0880759999995</v>
      </c>
      <c r="H24" s="23">
        <f t="shared" si="16"/>
        <v>140200.11367599998</v>
      </c>
      <c r="I24" s="1"/>
      <c r="J24" s="14">
        <v>150</v>
      </c>
      <c r="K24" s="5">
        <f t="shared" si="17"/>
        <v>140350.11367599998</v>
      </c>
      <c r="L24" s="15">
        <f t="shared" si="18"/>
        <v>2456.12698933</v>
      </c>
      <c r="M24" s="5">
        <f t="shared" si="19"/>
        <v>142806.24066532997</v>
      </c>
      <c r="N24" s="15">
        <f t="shared" si="20"/>
        <v>3213.1404149699242</v>
      </c>
      <c r="O24" s="25">
        <f t="shared" si="21"/>
        <v>146019.38108029991</v>
      </c>
      <c r="P24" s="1"/>
      <c r="Q24" s="6"/>
      <c r="R24" s="6"/>
      <c r="S24" s="6"/>
      <c r="T24" s="6"/>
      <c r="U24" s="1"/>
      <c r="V24" s="1"/>
      <c r="W24" s="1"/>
      <c r="X24" s="1"/>
    </row>
    <row r="25" spans="1:24" x14ac:dyDescent="0.4">
      <c r="B25" s="6"/>
      <c r="C25" s="1"/>
      <c r="D25" s="6"/>
      <c r="E25" s="6"/>
      <c r="F25" s="6"/>
      <c r="G25" s="6"/>
      <c r="H25" s="6"/>
      <c r="I25" s="1"/>
      <c r="J25" s="6"/>
      <c r="K25" s="6"/>
      <c r="L25" s="6"/>
      <c r="M25" s="6"/>
      <c r="N25" s="6"/>
      <c r="O25" s="6"/>
      <c r="P25" s="1"/>
      <c r="Q25" s="6"/>
      <c r="R25" s="6"/>
      <c r="S25" s="6"/>
      <c r="T25" s="6"/>
      <c r="U25" s="1"/>
      <c r="V25" s="1"/>
      <c r="W25" s="1"/>
      <c r="X25" s="1"/>
    </row>
    <row r="26" spans="1:24" x14ac:dyDescent="0.4">
      <c r="B26" s="6"/>
      <c r="C26" s="1"/>
      <c r="D26" s="6"/>
      <c r="E26" s="6"/>
      <c r="F26" s="6"/>
      <c r="G26" s="6"/>
      <c r="H26" s="6"/>
      <c r="I26" s="1"/>
      <c r="J26" s="6"/>
      <c r="K26" s="6"/>
      <c r="L26" s="6"/>
      <c r="M26" s="6"/>
      <c r="N26" s="6"/>
      <c r="O26" s="6"/>
      <c r="P26" s="1"/>
      <c r="Q26" s="6"/>
      <c r="R26" s="6"/>
      <c r="S26" s="6"/>
      <c r="T26" s="6"/>
      <c r="U26" s="1"/>
      <c r="V26" s="1"/>
      <c r="W26" s="1"/>
      <c r="X26" s="1"/>
    </row>
    <row r="27" spans="1:24" x14ac:dyDescent="0.4">
      <c r="B27" s="6"/>
      <c r="C27" s="1"/>
      <c r="D27" s="6"/>
      <c r="E27" s="6"/>
      <c r="F27" s="6"/>
      <c r="G27" s="6"/>
      <c r="H27" s="6"/>
      <c r="I27" s="1"/>
      <c r="J27" s="6"/>
      <c r="K27" s="6"/>
      <c r="L27" s="6"/>
      <c r="M27" s="6"/>
      <c r="N27" s="6"/>
      <c r="O27" s="6"/>
      <c r="P27" s="1"/>
      <c r="Q27" s="6"/>
      <c r="R27" s="6"/>
      <c r="S27" s="6"/>
      <c r="T27" s="6"/>
      <c r="U27" s="1"/>
      <c r="V27" s="1"/>
      <c r="W27" s="1"/>
      <c r="X27" s="1"/>
    </row>
    <row r="28" spans="1:24" x14ac:dyDescent="0.4">
      <c r="B28" s="6"/>
      <c r="C28" s="1"/>
      <c r="D28" s="6"/>
      <c r="E28" s="6"/>
      <c r="F28" s="6"/>
      <c r="G28" s="6"/>
      <c r="H28" s="6"/>
      <c r="I28" s="1"/>
      <c r="J28" s="6"/>
      <c r="K28" s="6"/>
      <c r="L28" s="6"/>
      <c r="M28" s="6"/>
      <c r="N28" s="6"/>
      <c r="O28" s="6"/>
      <c r="P28" s="1"/>
      <c r="Q28" s="6"/>
      <c r="R28" s="6"/>
      <c r="S28" s="6"/>
      <c r="T28" s="6"/>
      <c r="U28" s="1"/>
      <c r="V28" s="1"/>
      <c r="W28" s="1"/>
      <c r="X28" s="1"/>
    </row>
    <row r="29" spans="1:24" x14ac:dyDescent="0.4">
      <c r="B29" s="6"/>
      <c r="C29" s="1"/>
      <c r="D29" s="6"/>
      <c r="E29" s="6"/>
      <c r="F29" s="6"/>
      <c r="G29" s="6"/>
      <c r="H29" s="6"/>
      <c r="I29" s="1"/>
      <c r="J29" s="6"/>
      <c r="K29" s="6"/>
      <c r="L29" s="6"/>
      <c r="M29" s="6"/>
      <c r="N29" s="6"/>
      <c r="O29" s="6"/>
      <c r="P29" s="1"/>
      <c r="Q29" s="6"/>
      <c r="R29" s="6"/>
      <c r="S29" s="6"/>
      <c r="T29" s="6"/>
      <c r="U29" s="1"/>
      <c r="V29" s="1"/>
      <c r="W29" s="1"/>
      <c r="X29" s="1"/>
    </row>
    <row r="30" spans="1:24" x14ac:dyDescent="0.4">
      <c r="B30" s="6"/>
      <c r="C30" s="1"/>
      <c r="D30" s="6"/>
      <c r="E30" s="6"/>
      <c r="F30" s="6"/>
      <c r="G30" s="6"/>
      <c r="H30" s="6"/>
      <c r="I30" s="1"/>
      <c r="J30" s="6"/>
      <c r="K30" s="6"/>
      <c r="L30" s="6"/>
      <c r="M30" s="6"/>
      <c r="N30" s="6"/>
      <c r="O30" s="6"/>
      <c r="P30" s="1"/>
      <c r="Q30" s="6"/>
      <c r="R30" s="6"/>
      <c r="S30" s="6"/>
      <c r="T30" s="6"/>
      <c r="U30" s="1"/>
      <c r="V30" s="1"/>
      <c r="W30" s="1"/>
      <c r="X30" s="1"/>
    </row>
    <row r="31" spans="1:24" x14ac:dyDescent="0.4">
      <c r="B31" s="6"/>
      <c r="C31" s="1"/>
      <c r="D31" s="6"/>
      <c r="E31" s="6"/>
      <c r="F31" s="6"/>
      <c r="G31" s="6"/>
      <c r="H31" s="6"/>
      <c r="I31" s="1"/>
      <c r="J31" s="6"/>
      <c r="K31" s="6"/>
      <c r="L31" s="6"/>
      <c r="M31" s="6"/>
      <c r="N31" s="6"/>
      <c r="O31" s="6"/>
      <c r="P31" s="1"/>
      <c r="Q31" s="6"/>
      <c r="R31" s="6"/>
      <c r="S31" s="6"/>
      <c r="T31" s="6"/>
      <c r="U31" s="1"/>
      <c r="V31" s="1"/>
      <c r="W31" s="1"/>
      <c r="X31" s="1"/>
    </row>
    <row r="32" spans="1:24" x14ac:dyDescent="0.4">
      <c r="B32" s="6"/>
      <c r="C32" s="1"/>
      <c r="D32" s="6"/>
      <c r="E32" s="6"/>
      <c r="F32" s="6"/>
      <c r="G32" s="6"/>
      <c r="H32" s="6"/>
      <c r="I32" s="1"/>
      <c r="J32" s="6"/>
      <c r="K32" s="6"/>
      <c r="L32" s="6"/>
      <c r="M32" s="6"/>
      <c r="N32" s="6"/>
      <c r="O32" s="6"/>
      <c r="P32" s="1"/>
      <c r="Q32" s="6"/>
      <c r="R32" s="6"/>
      <c r="S32" s="6"/>
      <c r="T32" s="6"/>
      <c r="U32" s="1"/>
      <c r="V32" s="1"/>
      <c r="W32" s="1"/>
      <c r="X32" s="1"/>
    </row>
    <row r="33" spans="2:24" x14ac:dyDescent="0.4">
      <c r="B33" s="6"/>
      <c r="C33" s="1"/>
      <c r="D33" s="6"/>
      <c r="E33" s="6"/>
      <c r="F33" s="6"/>
      <c r="G33" s="6"/>
      <c r="H33" s="6"/>
      <c r="I33" s="1"/>
      <c r="J33" s="6"/>
      <c r="K33" s="6"/>
      <c r="L33" s="6"/>
      <c r="M33" s="6"/>
      <c r="N33" s="6"/>
      <c r="O33" s="6"/>
      <c r="P33" s="1"/>
      <c r="Q33" s="6"/>
      <c r="R33" s="6"/>
      <c r="S33" s="6"/>
      <c r="T33" s="6"/>
      <c r="U33" s="1"/>
      <c r="V33" s="1"/>
      <c r="W33" s="1"/>
      <c r="X33" s="1"/>
    </row>
    <row r="34" spans="2:24" x14ac:dyDescent="0.4">
      <c r="B34" s="6"/>
      <c r="C34" s="1"/>
      <c r="D34" s="6"/>
      <c r="E34" s="6"/>
      <c r="F34" s="6"/>
      <c r="G34" s="6"/>
      <c r="H34" s="6"/>
      <c r="I34" s="1"/>
      <c r="J34" s="6"/>
      <c r="K34" s="6"/>
      <c r="L34" s="6"/>
      <c r="M34" s="6"/>
      <c r="N34" s="6"/>
      <c r="O34" s="6"/>
      <c r="P34" s="1"/>
      <c r="Q34" s="6"/>
      <c r="R34" s="6"/>
      <c r="S34" s="6"/>
      <c r="T34" s="6"/>
      <c r="U34" s="1"/>
      <c r="V34" s="1"/>
      <c r="W34" s="1"/>
      <c r="X34" s="1"/>
    </row>
    <row r="35" spans="2:24" x14ac:dyDescent="0.4">
      <c r="B35" s="6"/>
      <c r="C35" s="1"/>
      <c r="D35" s="6"/>
      <c r="E35" s="6"/>
      <c r="F35" s="6"/>
      <c r="G35" s="6"/>
      <c r="H35" s="6"/>
      <c r="I35" s="1"/>
      <c r="J35" s="6"/>
      <c r="K35" s="6"/>
      <c r="L35" s="6"/>
      <c r="M35" s="6"/>
      <c r="N35" s="6"/>
      <c r="O35" s="6"/>
      <c r="P35" s="1"/>
      <c r="Q35" s="6"/>
      <c r="R35" s="6"/>
      <c r="S35" s="6"/>
      <c r="T35" s="6"/>
      <c r="U35" s="1"/>
      <c r="V35" s="1"/>
      <c r="W35" s="1"/>
      <c r="X35" s="1"/>
    </row>
    <row r="36" spans="2:24" x14ac:dyDescent="0.4">
      <c r="B36" s="6"/>
      <c r="C36" s="1"/>
      <c r="D36" s="6"/>
      <c r="E36" s="6"/>
      <c r="F36" s="6"/>
      <c r="G36" s="6"/>
      <c r="H36" s="6"/>
      <c r="I36" s="1"/>
      <c r="J36" s="6"/>
      <c r="K36" s="6"/>
      <c r="L36" s="6"/>
      <c r="M36" s="6"/>
      <c r="N36" s="6"/>
      <c r="O36" s="6"/>
      <c r="P36" s="1"/>
      <c r="Q36" s="6"/>
      <c r="R36" s="6"/>
      <c r="S36" s="6"/>
      <c r="T36" s="6"/>
      <c r="U36" s="1"/>
      <c r="V36" s="1"/>
      <c r="W36" s="1"/>
      <c r="X36" s="1"/>
    </row>
    <row r="37" spans="2:24" x14ac:dyDescent="0.4">
      <c r="B37" s="6"/>
      <c r="C37" s="1"/>
      <c r="D37" s="6"/>
      <c r="E37" s="6"/>
      <c r="F37" s="6"/>
      <c r="G37" s="6"/>
      <c r="H37" s="6"/>
      <c r="I37" s="1"/>
      <c r="J37" s="6"/>
      <c r="K37" s="6"/>
      <c r="L37" s="6"/>
      <c r="M37" s="6"/>
      <c r="N37" s="6"/>
      <c r="O37" s="6"/>
      <c r="P37" s="1"/>
      <c r="Q37" s="6"/>
      <c r="R37" s="6"/>
      <c r="S37" s="6"/>
      <c r="T37" s="6"/>
      <c r="U37" s="1"/>
      <c r="V37" s="1"/>
      <c r="W37" s="1"/>
      <c r="X37" s="1"/>
    </row>
    <row r="38" spans="2:24" x14ac:dyDescent="0.4">
      <c r="B38" s="6"/>
      <c r="C38" s="1"/>
      <c r="D38" s="6"/>
      <c r="E38" s="6"/>
      <c r="F38" s="6"/>
      <c r="G38" s="6"/>
      <c r="H38" s="6"/>
      <c r="I38" s="1"/>
      <c r="J38" s="6"/>
      <c r="K38" s="6"/>
      <c r="L38" s="6"/>
      <c r="M38" s="6"/>
      <c r="N38" s="6"/>
      <c r="O38" s="6"/>
      <c r="P38" s="1"/>
      <c r="Q38" s="6"/>
      <c r="R38" s="6"/>
      <c r="S38" s="6"/>
      <c r="T38" s="6"/>
      <c r="U38" s="1"/>
      <c r="V38" s="1"/>
      <c r="W38" s="1"/>
      <c r="X38" s="1"/>
    </row>
    <row r="39" spans="2:24" x14ac:dyDescent="0.4">
      <c r="B39" s="6"/>
      <c r="C39" s="1"/>
      <c r="D39" s="6"/>
      <c r="E39" s="6"/>
      <c r="F39" s="6"/>
      <c r="G39" s="6"/>
      <c r="H39" s="6"/>
      <c r="I39" s="1"/>
      <c r="J39" s="6"/>
      <c r="K39" s="6"/>
      <c r="L39" s="6"/>
      <c r="M39" s="6"/>
      <c r="N39" s="6"/>
      <c r="O39" s="6"/>
      <c r="P39" s="1"/>
      <c r="Q39" s="6"/>
      <c r="R39" s="6"/>
      <c r="S39" s="6"/>
      <c r="T39" s="6"/>
      <c r="U39" s="1"/>
      <c r="V39" s="1"/>
      <c r="W39" s="1"/>
      <c r="X39" s="1"/>
    </row>
    <row r="40" spans="2:24" x14ac:dyDescent="0.4">
      <c r="B40" s="6"/>
      <c r="C40" s="1"/>
      <c r="D40" s="6"/>
      <c r="E40" s="6"/>
      <c r="F40" s="6"/>
      <c r="G40" s="6"/>
      <c r="H40" s="6"/>
      <c r="I40" s="1"/>
      <c r="J40" s="6"/>
      <c r="K40" s="6"/>
      <c r="L40" s="6"/>
      <c r="M40" s="6"/>
      <c r="N40" s="6"/>
      <c r="O40" s="6"/>
      <c r="P40" s="1"/>
      <c r="Q40" s="6"/>
      <c r="R40" s="6"/>
      <c r="S40" s="6"/>
      <c r="T40" s="6"/>
      <c r="U40" s="1"/>
      <c r="V40" s="1"/>
      <c r="W40" s="1"/>
      <c r="X40" s="1"/>
    </row>
  </sheetData>
  <mergeCells count="5">
    <mergeCell ref="D6:H6"/>
    <mergeCell ref="J6:O6"/>
    <mergeCell ref="Q6:T6"/>
    <mergeCell ref="D18:H18"/>
    <mergeCell ref="J18:O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E I j p U g I M S V e j A A A A 9 Q A A A B I A H A B D b 2 5 m a W c v U G F j a 2 F n Z S 5 4 b W w g o h g A K K A U A A A A A A A A A A A A A A A A A A A A A A A A A A A A h Y 8 x D o I w G I W v Q r r T l u K g 5 K c M r p K Y E I 1 r U y o 0 Q j G 0 W O 7 m 4 J G 8 g h h F 3 R z f 9 7 7 h v f v 1 B t n Y N s F F 9 V Z 3 J k U R p i h Q R n a l N l W K B n c M l y j j s B X y J C o V T L K x y W j L F N X O n R N C v P f Y x 7 j r K 8 I o j c g h 3 x S y V q 1 A H 1 n / l 0 N t r B N G K s R h / x r D G V 7 F e M E Y p k B m B r k 2 3 5 5 N c 5 / t D 4 T 1 0 L i h V 1 y Z c F c A m S O Q 9 w X + A F B L A w Q U A A I A C A A Q i O l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I j p U i i K R 7 g O A A A A E Q A A A B M A H A B G b 3 J t d W x h c y 9 T Z W N 0 a W 9 u M S 5 t I K I Y A C i g F A A A A A A A A A A A A A A A A A A A A A A A A A A A A C t O T S 7 J z M 9 T C I b Q h t Y A U E s B A i 0 A F A A C A A g A E I j p U g I M S V e j A A A A 9 Q A A A B I A A A A A A A A A A A A A A A A A A A A A A E N v b m Z p Z y 9 Q Y W N r Y W d l L n h t b F B L A Q I t A B Q A A g A I A B C I 6 V I P y u m r p A A A A O k A A A A T A A A A A A A A A A A A A A A A A O 8 A A A B b Q 2 9 u d G V u d F 9 U e X B l c 1 0 u e G 1 s U E s B A i 0 A F A A C A A g A E I j p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H 9 q d 1 T x W N G r m 5 w 7 F U M N A M A A A A A A g A A A A A A E G Y A A A A B A A A g A A A A 3 k 1 2 M M 8 I d b H O R J L V 9 t 2 a o O i O Q f F Z w D a 3 S b c k t D U z 9 K c A A A A A D o A A A A A C A A A g A A A A 4 V H m t 5 x b q y h A S R q m H d N 1 F a n n Y 3 N r y + 7 f Q c U 6 R 5 6 r 8 l 1 Q A A A A e T 8 4 z N f x J f q o d X 1 d g o U S D B y 0 I / g d M S 3 R g o 5 1 k l l i U T l H A y o N b Y k W n e 3 P s I b N R Q B k z T O S q x H z B q + T j G 7 t X W 0 w z D s D X 7 + m 2 4 5 t J d 5 G e 9 z H V 8 l A A A A A 7 t D b 1 B G s z L g 0 Q q m w h y I v i n Z s y 7 p 6 J A q a B I + R N M M T R b r l q 9 / r o L o + W P 1 Q p Q i z E 4 n y 9 A q K I G g A g b U b O c i V H x y r 8 A = = < / D a t a M a s h u p > 
</file>

<file path=customXml/itemProps1.xml><?xml version="1.0" encoding="utf-8"?>
<ds:datastoreItem xmlns:ds="http://schemas.openxmlformats.org/officeDocument/2006/customXml" ds:itemID="{B8196B37-0531-4DCC-BA05-B3FCC387700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 Hlawitschka</dc:creator>
  <cp:lastModifiedBy>Walt Hlawitschka</cp:lastModifiedBy>
  <dcterms:created xsi:type="dcterms:W3CDTF">2021-06-28T16:35:13Z</dcterms:created>
  <dcterms:modified xsi:type="dcterms:W3CDTF">2021-08-05T16:02:50Z</dcterms:modified>
</cp:coreProperties>
</file>